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530"/>
  <workbookPr codeName="DieseArbeitsmappe" defaultThemeVersion="124226"/>
  <mc:AlternateContent xmlns:mc="http://schemas.openxmlformats.org/markup-compatibility/2006">
    <mc:Choice Requires="x15">
      <x15ac:absPath xmlns:x15ac="http://schemas.microsoft.com/office/spreadsheetml/2010/11/ac" url="https://anbaulindau.sharepoint.com/sites/AnBauAgenturfrnachhaltigesB/Freigegebene Dokumente/General/4. Projekte/9990. LNB GmbH/03. LNB Weiterentwicklung/LNB/2026/LNB 2026/Final/LNB Excel/"/>
    </mc:Choice>
  </mc:AlternateContent>
  <xr:revisionPtr revIDLastSave="2190" documentId="8_{83E9D32E-DDB9-485D-9B6B-23D1DDBA740C}" xr6:coauthVersionLast="47" xr6:coauthVersionMax="47" xr10:uidLastSave="{AE57188A-FBA9-4E14-AEB2-D2A5699EA0D2}"/>
  <bookViews>
    <workbookView xWindow="-57720" yWindow="1710" windowWidth="29040" windowHeight="15720" tabRatio="661" firstSheet="2" activeTab="15" xr2:uid="{00000000-000D-0000-FFFF-FFFF00000000}"/>
  </bookViews>
  <sheets>
    <sheet name="Deckblatt" sheetId="20" state="hidden" r:id="rId1"/>
    <sheet name="Punktevergabe" sheetId="5" r:id="rId2"/>
    <sheet name="A 3." sheetId="65" r:id="rId3"/>
    <sheet name="A 4." sheetId="66" r:id="rId4"/>
    <sheet name="A 5." sheetId="67" r:id="rId5"/>
    <sheet name="A 6." sheetId="68" r:id="rId6"/>
    <sheet name="A 7." sheetId="69" r:id="rId7"/>
    <sheet name="Bewertung durch Expertengremium" sheetId="29" r:id="rId8"/>
    <sheet name="B1b " sheetId="46" state="hidden" r:id="rId9"/>
    <sheet name="B1b Graphik" sheetId="47" state="hidden" r:id="rId10"/>
    <sheet name="B 5." sheetId="70" r:id="rId11"/>
    <sheet name="C 1." sheetId="43" r:id="rId12"/>
    <sheet name="C 2." sheetId="10" r:id="rId13"/>
    <sheet name="D " sheetId="58" r:id="rId14"/>
    <sheet name="Punktevergabe LNB_QNG" sheetId="75" r:id="rId15"/>
    <sheet name="Nebenrechnungen" sheetId="72" r:id="rId16"/>
    <sheet name="Kriterieneinteilung LNB_QNG" sheetId="62" state="hidden" r:id="rId17"/>
    <sheet name="D 2.1" sheetId="12" state="hidden" r:id="rId18"/>
    <sheet name="D 2.2" sheetId="30" state="hidden" r:id="rId19"/>
  </sheets>
  <definedNames>
    <definedName name="_xlnm.Print_Area" localSheetId="7">'Bewertung durch Expertengremium'!$A$1:$G$77,'Bewertung durch Expertengremium'!$A$82:$G$116,'Bewertung durch Expertengremium'!$A$121:$G$155</definedName>
    <definedName name="Gebaeude">#REF!</definedName>
    <definedName name="Gebaeudetyp">#REF!</definedName>
    <definedName name="Gebäudetyp">#REF!</definedName>
    <definedName name="Gemeinde">#REF!</definedName>
    <definedName name="Heizgradtage">#REF!</definedName>
    <definedName name="HGT">#REF!</definedName>
    <definedName name="Kommunen">#REF!</definedName>
    <definedName name="Max">#REF!</definedName>
    <definedName name="Min">#REF!</definedName>
    <definedName name="Objekttyp">#REF!</definedName>
    <definedName name="Orte">#REF!</definedName>
    <definedName name="Planstand">#REF!</definedName>
    <definedName name="Punktemax">#REF!</definedName>
    <definedName name="Punktemin">#REF!</definedName>
    <definedName name="Z_900BB99C_5F12_4578_9AB6_A71D1D7EE1B7_.wvu.PrintArea" localSheetId="1" hidden="1">Punktevergabe!$C$1:$H$38</definedName>
    <definedName name="Z_900BB99C_5F12_4578_9AB6_A71D1D7EE1B7_.wvu.PrintTitles" localSheetId="1" hidden="1">Punktevergabe!$1:$12</definedName>
    <definedName name="Z_900BB99C_5F12_4578_9AB6_A71D1D7EE1B7_.wvu.Rows" localSheetId="1" hidden="1">Punktevergabe!$9:$9</definedName>
  </definedNames>
  <calcPr calcId="191029"/>
  <customWorkbookViews>
    <customWorkbookView name="Martin Brunn - Persönliche Ansicht" guid="{900BB99C-5F12-4578-9AB6-A71D1D7EE1B7}" mergeInterval="0" personalView="1" maximized="1" windowWidth="1396" windowHeight="888"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23" i="75" l="1"/>
  <c r="D44" i="75"/>
  <c r="F52" i="75"/>
  <c r="H39" i="10"/>
  <c r="H40" i="10"/>
  <c r="H41" i="10"/>
  <c r="H42" i="10"/>
  <c r="H43" i="10"/>
  <c r="H44" i="10"/>
  <c r="H45" i="10"/>
  <c r="H46" i="10"/>
  <c r="H47" i="10"/>
  <c r="H48" i="10"/>
  <c r="H49" i="10"/>
  <c r="H50" i="10"/>
  <c r="G39" i="10"/>
  <c r="G40" i="10"/>
  <c r="G41" i="10"/>
  <c r="G42" i="10"/>
  <c r="G43" i="10"/>
  <c r="G44" i="10"/>
  <c r="G45" i="10"/>
  <c r="G46" i="10"/>
  <c r="G47" i="10"/>
  <c r="G48" i="10"/>
  <c r="G49" i="10"/>
  <c r="G50" i="10"/>
  <c r="F37" i="10"/>
  <c r="F38" i="10"/>
  <c r="F39" i="10"/>
  <c r="F40" i="10"/>
  <c r="F41" i="10"/>
  <c r="F42" i="10"/>
  <c r="F43" i="10"/>
  <c r="F44" i="10"/>
  <c r="F45" i="10"/>
  <c r="F46" i="10"/>
  <c r="F47" i="10"/>
  <c r="F48" i="10"/>
  <c r="F49" i="10"/>
  <c r="F50" i="10"/>
  <c r="F36" i="10"/>
  <c r="D39" i="10"/>
  <c r="D40" i="10"/>
  <c r="D41" i="10"/>
  <c r="D42" i="10"/>
  <c r="D43" i="10"/>
  <c r="D44" i="10"/>
  <c r="D45" i="10"/>
  <c r="D46" i="10"/>
  <c r="D47" i="10"/>
  <c r="D48" i="10"/>
  <c r="D49" i="10"/>
  <c r="D50" i="10"/>
  <c r="C39" i="10"/>
  <c r="C40" i="10"/>
  <c r="C41" i="10"/>
  <c r="C42" i="10"/>
  <c r="C43" i="10"/>
  <c r="C44" i="10"/>
  <c r="C45" i="10"/>
  <c r="C46" i="10"/>
  <c r="C47" i="10"/>
  <c r="C48" i="10"/>
  <c r="C49" i="10"/>
  <c r="C50" i="10"/>
  <c r="H21" i="10"/>
  <c r="H22" i="10"/>
  <c r="H23" i="10"/>
  <c r="H24" i="10"/>
  <c r="H25" i="10"/>
  <c r="H26" i="10"/>
  <c r="H27" i="10"/>
  <c r="H28" i="10"/>
  <c r="H29" i="10"/>
  <c r="H30" i="10"/>
  <c r="H31" i="10"/>
  <c r="H32" i="10"/>
  <c r="G21" i="10"/>
  <c r="G22" i="10"/>
  <c r="G23" i="10"/>
  <c r="G24" i="10"/>
  <c r="G25" i="10"/>
  <c r="G26" i="10"/>
  <c r="G27" i="10"/>
  <c r="G28" i="10"/>
  <c r="G29" i="10"/>
  <c r="G30" i="10"/>
  <c r="G31" i="10"/>
  <c r="G32" i="10"/>
  <c r="F19" i="10"/>
  <c r="F20" i="10"/>
  <c r="F21" i="10"/>
  <c r="F22" i="10"/>
  <c r="F23" i="10"/>
  <c r="F24" i="10"/>
  <c r="F25" i="10"/>
  <c r="F26" i="10"/>
  <c r="F27" i="10"/>
  <c r="F28" i="10"/>
  <c r="F29" i="10"/>
  <c r="F30" i="10"/>
  <c r="F31" i="10"/>
  <c r="F32" i="10"/>
  <c r="F18" i="10"/>
  <c r="D19" i="10"/>
  <c r="D20" i="10"/>
  <c r="D21" i="10"/>
  <c r="D22" i="10"/>
  <c r="D23" i="10"/>
  <c r="D24" i="10"/>
  <c r="D25" i="10"/>
  <c r="D26" i="10"/>
  <c r="D27" i="10"/>
  <c r="D28" i="10"/>
  <c r="D29" i="10"/>
  <c r="D30" i="10"/>
  <c r="D31" i="10"/>
  <c r="D32" i="10"/>
  <c r="D18" i="10"/>
  <c r="C19" i="10"/>
  <c r="C20" i="10"/>
  <c r="C21" i="10"/>
  <c r="C22" i="10"/>
  <c r="C23" i="10"/>
  <c r="C24" i="10"/>
  <c r="C25" i="10"/>
  <c r="C26" i="10"/>
  <c r="C27" i="10"/>
  <c r="C28" i="10"/>
  <c r="C29" i="10"/>
  <c r="C30" i="10"/>
  <c r="C31" i="10"/>
  <c r="C32" i="10"/>
  <c r="C18" i="10"/>
  <c r="C4" i="75"/>
  <c r="F76" i="75" l="1"/>
  <c r="E76" i="75"/>
  <c r="J76" i="75" s="1"/>
  <c r="F74" i="75"/>
  <c r="E74" i="75"/>
  <c r="D74" i="75"/>
  <c r="J74" i="75" s="1"/>
  <c r="F69" i="75"/>
  <c r="J69" i="75" s="1"/>
  <c r="F67" i="75"/>
  <c r="E67" i="75"/>
  <c r="J67" i="75" s="1"/>
  <c r="F65" i="75"/>
  <c r="E65" i="75"/>
  <c r="J65" i="75" s="1"/>
  <c r="F63" i="75"/>
  <c r="E63" i="75"/>
  <c r="D63" i="75"/>
  <c r="J63" i="75" s="1"/>
  <c r="F59" i="75"/>
  <c r="I59" i="75" s="1"/>
  <c r="E59" i="75"/>
  <c r="J59" i="75" s="1"/>
  <c r="F57" i="75"/>
  <c r="I57" i="75" s="1"/>
  <c r="E57" i="75"/>
  <c r="K49" i="75"/>
  <c r="F48" i="75" s="1"/>
  <c r="F49" i="75"/>
  <c r="E49" i="75"/>
  <c r="D49" i="75"/>
  <c r="F46" i="75"/>
  <c r="E46" i="75"/>
  <c r="D46" i="75"/>
  <c r="F44" i="75"/>
  <c r="E44" i="75"/>
  <c r="J44" i="75" s="1"/>
  <c r="F40" i="75"/>
  <c r="I40" i="75" s="1"/>
  <c r="E40" i="75"/>
  <c r="H40" i="75" s="1"/>
  <c r="F36" i="75"/>
  <c r="E36" i="75"/>
  <c r="F33" i="75"/>
  <c r="E33" i="75"/>
  <c r="K28" i="75"/>
  <c r="F22" i="75" s="1"/>
  <c r="I22" i="75" s="1"/>
  <c r="F28" i="75"/>
  <c r="E28" i="75"/>
  <c r="F23" i="75"/>
  <c r="E23" i="75"/>
  <c r="F20" i="75"/>
  <c r="E20" i="75"/>
  <c r="D20" i="75"/>
  <c r="F14" i="75"/>
  <c r="I14" i="75" s="1"/>
  <c r="E14" i="75"/>
  <c r="C7" i="75"/>
  <c r="G76" i="75" l="1"/>
  <c r="J57" i="75"/>
  <c r="J46" i="75"/>
  <c r="J33" i="75"/>
  <c r="G69" i="75"/>
  <c r="H69" i="75"/>
  <c r="I69" i="75"/>
  <c r="G44" i="75"/>
  <c r="E22" i="75"/>
  <c r="H22" i="75" s="1"/>
  <c r="J20" i="75"/>
  <c r="H14" i="75"/>
  <c r="J14" i="75"/>
  <c r="C76" i="75"/>
  <c r="C69" i="75"/>
  <c r="C22" i="75"/>
  <c r="C67" i="75"/>
  <c r="C20" i="75"/>
  <c r="C65" i="75"/>
  <c r="C18" i="75"/>
  <c r="C63" i="75"/>
  <c r="C14" i="75"/>
  <c r="C61" i="75"/>
  <c r="C12" i="75"/>
  <c r="C10" i="75" s="1"/>
  <c r="C59" i="75"/>
  <c r="C57" i="75"/>
  <c r="C55" i="75" s="1"/>
  <c r="C52" i="75"/>
  <c r="C48" i="75"/>
  <c r="C46" i="75"/>
  <c r="C44" i="75"/>
  <c r="C40" i="75"/>
  <c r="C35" i="75"/>
  <c r="C74" i="75"/>
  <c r="C72" i="75" s="1"/>
  <c r="C33" i="75"/>
  <c r="J72" i="75"/>
  <c r="K53" i="75"/>
  <c r="J52" i="75"/>
  <c r="G46" i="75"/>
  <c r="G67" i="75"/>
  <c r="G52" i="75"/>
  <c r="J40" i="75"/>
  <c r="G59" i="75"/>
  <c r="G74" i="75"/>
  <c r="G33" i="75"/>
  <c r="G57" i="75"/>
  <c r="G65" i="75"/>
  <c r="H57" i="75"/>
  <c r="G40" i="75"/>
  <c r="G14" i="75"/>
  <c r="D48" i="75"/>
  <c r="H59" i="75"/>
  <c r="G20" i="75"/>
  <c r="E48" i="75"/>
  <c r="G63" i="75"/>
  <c r="G22" i="75" l="1"/>
  <c r="J22" i="75"/>
  <c r="C38" i="75"/>
  <c r="C79" i="75"/>
  <c r="G48" i="75"/>
  <c r="J48" i="75"/>
  <c r="J38" i="75" s="1"/>
  <c r="C134" i="72" l="1"/>
  <c r="C133" i="72"/>
  <c r="K36" i="75" s="1"/>
  <c r="D124" i="72"/>
  <c r="D123" i="72"/>
  <c r="D122" i="72"/>
  <c r="D125" i="72" s="1"/>
  <c r="D126" i="72" s="1"/>
  <c r="E22" i="66" s="1"/>
  <c r="K75" i="72"/>
  <c r="G75" i="72"/>
  <c r="J75" i="72" s="1"/>
  <c r="E75" i="72"/>
  <c r="H75" i="72" s="1"/>
  <c r="D75" i="72"/>
  <c r="H74" i="72"/>
  <c r="G74" i="72"/>
  <c r="E74" i="72"/>
  <c r="D74" i="72"/>
  <c r="K73" i="72"/>
  <c r="G73" i="72"/>
  <c r="J73" i="72" s="1"/>
  <c r="E73" i="72"/>
  <c r="H73" i="72" s="1"/>
  <c r="D73" i="72"/>
  <c r="G72" i="72"/>
  <c r="E72" i="72"/>
  <c r="H72" i="72" s="1"/>
  <c r="D72" i="72"/>
  <c r="K71" i="72"/>
  <c r="G71" i="72"/>
  <c r="J71" i="72" s="1"/>
  <c r="E71" i="72"/>
  <c r="H71" i="72" s="1"/>
  <c r="D71" i="72"/>
  <c r="G70" i="72"/>
  <c r="E70" i="72"/>
  <c r="H70" i="72" s="1"/>
  <c r="D70" i="72"/>
  <c r="K69" i="72"/>
  <c r="G69" i="72"/>
  <c r="J69" i="72" s="1"/>
  <c r="E69" i="72"/>
  <c r="H69" i="72" s="1"/>
  <c r="D69" i="72"/>
  <c r="G68" i="72"/>
  <c r="E68" i="72"/>
  <c r="H68" i="72" s="1"/>
  <c r="D68" i="72"/>
  <c r="K67" i="72"/>
  <c r="G67" i="72"/>
  <c r="J67" i="72" s="1"/>
  <c r="E67" i="72"/>
  <c r="H67" i="72" s="1"/>
  <c r="D67" i="72"/>
  <c r="G66" i="72"/>
  <c r="E66" i="72"/>
  <c r="H66" i="72" s="1"/>
  <c r="D66" i="72"/>
  <c r="K65" i="72"/>
  <c r="G65" i="72"/>
  <c r="J65" i="72" s="1"/>
  <c r="E65" i="72"/>
  <c r="H65" i="72" s="1"/>
  <c r="D65" i="72"/>
  <c r="G64" i="72"/>
  <c r="E64" i="72"/>
  <c r="H64" i="72" s="1"/>
  <c r="D64" i="72"/>
  <c r="G63" i="72"/>
  <c r="E63" i="72"/>
  <c r="D63" i="72"/>
  <c r="C38" i="10" s="1"/>
  <c r="G62" i="72"/>
  <c r="G37" i="10" s="1"/>
  <c r="E62" i="72"/>
  <c r="D62" i="72"/>
  <c r="C37" i="10" s="1"/>
  <c r="G61" i="72"/>
  <c r="K61" i="72" s="1"/>
  <c r="E61" i="72"/>
  <c r="D61" i="72"/>
  <c r="C36" i="10" s="1"/>
  <c r="E58" i="72"/>
  <c r="K57" i="72"/>
  <c r="J57" i="72"/>
  <c r="I57" i="72"/>
  <c r="H57" i="72"/>
  <c r="G57" i="72"/>
  <c r="H56" i="72"/>
  <c r="G56" i="72"/>
  <c r="K56" i="72" s="1"/>
  <c r="H55" i="72"/>
  <c r="G55" i="72"/>
  <c r="I55" i="72" s="1"/>
  <c r="K54" i="72"/>
  <c r="J54" i="72"/>
  <c r="H54" i="72"/>
  <c r="G54" i="72"/>
  <c r="I54" i="72" s="1"/>
  <c r="H53" i="72"/>
  <c r="G53" i="72"/>
  <c r="K53" i="72" s="1"/>
  <c r="H52" i="72"/>
  <c r="G52" i="72"/>
  <c r="K52" i="72" s="1"/>
  <c r="K51" i="72"/>
  <c r="H51" i="72"/>
  <c r="G51" i="72"/>
  <c r="J51" i="72" s="1"/>
  <c r="H50" i="72"/>
  <c r="G50" i="72"/>
  <c r="K50" i="72" s="1"/>
  <c r="K49" i="72"/>
  <c r="J49" i="72"/>
  <c r="I49" i="72"/>
  <c r="H49" i="72"/>
  <c r="G49" i="72"/>
  <c r="H48" i="72"/>
  <c r="G48" i="72"/>
  <c r="K48" i="72" s="1"/>
  <c r="H47" i="72"/>
  <c r="G47" i="72"/>
  <c r="K46" i="72"/>
  <c r="J46" i="72"/>
  <c r="I46" i="72"/>
  <c r="H46" i="72"/>
  <c r="G46" i="72"/>
  <c r="H45" i="72"/>
  <c r="H20" i="10" s="1"/>
  <c r="G45" i="72"/>
  <c r="H44" i="72"/>
  <c r="H19" i="10" s="1"/>
  <c r="G44" i="72"/>
  <c r="G19" i="10" s="1"/>
  <c r="H43" i="72"/>
  <c r="H18" i="10" s="1"/>
  <c r="G43" i="72"/>
  <c r="G18" i="10" s="1"/>
  <c r="C39" i="72"/>
  <c r="C38" i="72"/>
  <c r="C28" i="72"/>
  <c r="F18" i="75" s="1"/>
  <c r="C26" i="72"/>
  <c r="C24" i="72"/>
  <c r="C19" i="72"/>
  <c r="H106" i="72" s="1"/>
  <c r="C10" i="72"/>
  <c r="C8" i="72"/>
  <c r="C9" i="72" s="1"/>
  <c r="K13" i="75" s="1"/>
  <c r="D31" i="5"/>
  <c r="C12" i="43"/>
  <c r="L31" i="5" s="1"/>
  <c r="L30" i="5" s="1"/>
  <c r="D8" i="43"/>
  <c r="D7" i="43"/>
  <c r="D6" i="43"/>
  <c r="L6" i="43"/>
  <c r="L7" i="43" s="1"/>
  <c r="D5" i="43"/>
  <c r="D6" i="70"/>
  <c r="U27" i="5" s="1"/>
  <c r="L14" i="5"/>
  <c r="O14" i="5"/>
  <c r="R14" i="5"/>
  <c r="U14" i="5"/>
  <c r="L15" i="5"/>
  <c r="O15" i="5"/>
  <c r="R15" i="5"/>
  <c r="U15" i="5"/>
  <c r="D23" i="5"/>
  <c r="D25" i="5"/>
  <c r="D26" i="5"/>
  <c r="H58" i="72" l="1"/>
  <c r="C36" i="72" s="1"/>
  <c r="E18" i="75"/>
  <c r="D18" i="75" s="1"/>
  <c r="K19" i="75" s="1"/>
  <c r="D12" i="75"/>
  <c r="E12" i="75"/>
  <c r="F12" i="75"/>
  <c r="F35" i="75"/>
  <c r="I35" i="75" s="1"/>
  <c r="E35" i="75"/>
  <c r="J63" i="72"/>
  <c r="G38" i="10"/>
  <c r="K63" i="72"/>
  <c r="C40" i="72"/>
  <c r="G9" i="10" s="1"/>
  <c r="J61" i="72"/>
  <c r="G36" i="10"/>
  <c r="I43" i="72"/>
  <c r="J43" i="72"/>
  <c r="K43" i="72"/>
  <c r="K45" i="72"/>
  <c r="G20" i="10"/>
  <c r="H63" i="72"/>
  <c r="H38" i="10" s="1"/>
  <c r="D38" i="10"/>
  <c r="H62" i="72"/>
  <c r="H37" i="10" s="1"/>
  <c r="D37" i="10"/>
  <c r="H61" i="72"/>
  <c r="H36" i="10" s="1"/>
  <c r="D36" i="10"/>
  <c r="O27" i="5"/>
  <c r="R27" i="5"/>
  <c r="E76" i="72"/>
  <c r="K47" i="72"/>
  <c r="J47" i="72"/>
  <c r="I47" i="72"/>
  <c r="K62" i="72"/>
  <c r="K76" i="72" s="1"/>
  <c r="J62" i="72"/>
  <c r="I62" i="72"/>
  <c r="K66" i="72"/>
  <c r="J66" i="72"/>
  <c r="I66" i="72"/>
  <c r="K70" i="72"/>
  <c r="J70" i="72"/>
  <c r="I70" i="72"/>
  <c r="K44" i="72"/>
  <c r="J44" i="72"/>
  <c r="I44" i="72"/>
  <c r="K64" i="72"/>
  <c r="J64" i="72"/>
  <c r="I64" i="72"/>
  <c r="K55" i="72"/>
  <c r="K58" i="72" s="1"/>
  <c r="J55" i="72"/>
  <c r="J58" i="72" s="1"/>
  <c r="K68" i="72"/>
  <c r="J68" i="72"/>
  <c r="I68" i="72"/>
  <c r="K72" i="72"/>
  <c r="J72" i="72"/>
  <c r="I72" i="72"/>
  <c r="I52" i="72"/>
  <c r="J52" i="72"/>
  <c r="K74" i="72"/>
  <c r="J74" i="72"/>
  <c r="I74" i="72"/>
  <c r="I50" i="72"/>
  <c r="I58" i="72" s="1"/>
  <c r="J50" i="72"/>
  <c r="I53" i="72"/>
  <c r="J53" i="72"/>
  <c r="I56" i="72"/>
  <c r="I45" i="72"/>
  <c r="J56" i="72"/>
  <c r="J45" i="72"/>
  <c r="I48" i="72"/>
  <c r="J48" i="72"/>
  <c r="I51" i="72"/>
  <c r="I61" i="72"/>
  <c r="I63" i="72"/>
  <c r="I65" i="72"/>
  <c r="I67" i="72"/>
  <c r="I69" i="72"/>
  <c r="I71" i="72"/>
  <c r="I73" i="72"/>
  <c r="I75" i="72"/>
  <c r="L27" i="5"/>
  <c r="H27" i="5"/>
  <c r="J18" i="75" l="1"/>
  <c r="G12" i="75"/>
  <c r="J12" i="75"/>
  <c r="J35" i="75"/>
  <c r="H35" i="75"/>
  <c r="G35" i="75"/>
  <c r="J84" i="75"/>
  <c r="I81" i="75"/>
  <c r="J76" i="72"/>
  <c r="H76" i="72"/>
  <c r="C37" i="72" s="1"/>
  <c r="G18" i="75"/>
  <c r="I76" i="72"/>
  <c r="J10" i="75" l="1"/>
  <c r="H81" i="75"/>
  <c r="J83" i="75"/>
  <c r="K39" i="72"/>
  <c r="G37" i="72" s="1"/>
  <c r="J39" i="72"/>
  <c r="F37" i="72" s="1"/>
  <c r="I39" i="72"/>
  <c r="E37" i="72" s="1"/>
  <c r="K62" i="75" l="1"/>
  <c r="E61" i="75" s="1"/>
  <c r="B15" i="69"/>
  <c r="C6" i="69"/>
  <c r="D11" i="68"/>
  <c r="D9" i="67"/>
  <c r="F52" i="65"/>
  <c r="F44" i="65"/>
  <c r="F13" i="65"/>
  <c r="D61" i="75" l="1"/>
  <c r="G61" i="75" s="1"/>
  <c r="G81" i="75" s="1"/>
  <c r="G80" i="75" s="1"/>
  <c r="F61" i="75"/>
  <c r="L20" i="5"/>
  <c r="O20" i="5"/>
  <c r="L19" i="5"/>
  <c r="O19" i="5"/>
  <c r="O18" i="5"/>
  <c r="L18" i="5"/>
  <c r="F53" i="65"/>
  <c r="E36" i="10"/>
  <c r="E18" i="10"/>
  <c r="E19" i="10"/>
  <c r="E20" i="10"/>
  <c r="E21" i="10"/>
  <c r="E22" i="10"/>
  <c r="E23" i="10"/>
  <c r="E24" i="10"/>
  <c r="E25" i="10"/>
  <c r="E26" i="10"/>
  <c r="E27" i="10"/>
  <c r="E28" i="10"/>
  <c r="E29" i="10"/>
  <c r="E30" i="10"/>
  <c r="E31" i="10"/>
  <c r="E32" i="10"/>
  <c r="J61" i="75" l="1"/>
  <c r="J55" i="75" s="1"/>
  <c r="J79" i="75" s="1"/>
  <c r="H80" i="75" s="1"/>
  <c r="I80" i="75" s="1"/>
  <c r="J81" i="75" s="1"/>
  <c r="H18" i="5"/>
  <c r="H20" i="5"/>
  <c r="H19" i="5"/>
  <c r="O16" i="5"/>
  <c r="U16" i="5"/>
  <c r="R16" i="5"/>
  <c r="L16" i="5"/>
  <c r="Q17" i="62" l="1"/>
  <c r="W1" i="5" l="1"/>
  <c r="Q4" i="62"/>
  <c r="Q26" i="62" s="1"/>
  <c r="S4" i="62"/>
  <c r="S26" i="62" s="1"/>
  <c r="U4" i="62"/>
  <c r="U26" i="62" s="1"/>
  <c r="W4" i="62"/>
  <c r="AB4" i="62"/>
  <c r="AC4" i="62"/>
  <c r="AD4" i="62"/>
  <c r="AE4" i="62"/>
  <c r="AE8" i="62" s="1"/>
  <c r="Q5" i="62"/>
  <c r="S5" i="62"/>
  <c r="U5" i="62"/>
  <c r="W5" i="62"/>
  <c r="AB5" i="62"/>
  <c r="AC5" i="62"/>
  <c r="AD5" i="62"/>
  <c r="AE5" i="62"/>
  <c r="BD5" i="62"/>
  <c r="Q6" i="62"/>
  <c r="S6" i="62"/>
  <c r="U6" i="62"/>
  <c r="W6" i="62"/>
  <c r="AB6" i="62"/>
  <c r="AC6" i="62"/>
  <c r="AD6" i="62"/>
  <c r="AE6" i="62"/>
  <c r="BD6" i="62"/>
  <c r="Q7" i="62"/>
  <c r="S7" i="62"/>
  <c r="U7" i="62"/>
  <c r="W7" i="62"/>
  <c r="AB7" i="62"/>
  <c r="AC7" i="62"/>
  <c r="AD7" i="62"/>
  <c r="AD8" i="62" s="1"/>
  <c r="AE7" i="62"/>
  <c r="BD7" i="62"/>
  <c r="Q8" i="62"/>
  <c r="S8" i="62"/>
  <c r="U8" i="62"/>
  <c r="W8" i="62"/>
  <c r="AB8" i="62"/>
  <c r="AC8" i="62"/>
  <c r="BD8" i="62"/>
  <c r="Q9" i="62"/>
  <c r="S9" i="62"/>
  <c r="U9" i="62"/>
  <c r="W9" i="62"/>
  <c r="Q10" i="62"/>
  <c r="S10" i="62"/>
  <c r="U10" i="62"/>
  <c r="W10" i="62"/>
  <c r="Q11" i="62"/>
  <c r="S11" i="62"/>
  <c r="U11" i="62"/>
  <c r="W11" i="62"/>
  <c r="Q12" i="62"/>
  <c r="S12" i="62"/>
  <c r="U12" i="62"/>
  <c r="W12" i="62"/>
  <c r="Q13" i="62"/>
  <c r="S13" i="62"/>
  <c r="U13" i="62"/>
  <c r="W13" i="62"/>
  <c r="Q14" i="62"/>
  <c r="S14" i="62"/>
  <c r="U14" i="62"/>
  <c r="W14" i="62"/>
  <c r="Q15" i="62"/>
  <c r="S15" i="62"/>
  <c r="U15" i="62"/>
  <c r="W15" i="62"/>
  <c r="Q16" i="62"/>
  <c r="S16" i="62"/>
  <c r="U16" i="62"/>
  <c r="W16" i="62"/>
  <c r="S17" i="62"/>
  <c r="Q18" i="62"/>
  <c r="S18" i="62"/>
  <c r="U18" i="62"/>
  <c r="W18" i="62"/>
  <c r="W26" i="62" s="1"/>
  <c r="Q19" i="62"/>
  <c r="S19" i="62"/>
  <c r="U19" i="62"/>
  <c r="W19" i="62"/>
  <c r="Q20" i="62"/>
  <c r="S20" i="62"/>
  <c r="U20" i="62"/>
  <c r="W20" i="62"/>
  <c r="S22" i="62"/>
  <c r="W22" i="62"/>
  <c r="S23" i="62"/>
  <c r="W23" i="62"/>
  <c r="U24" i="62"/>
  <c r="W24" i="62"/>
  <c r="U25" i="62"/>
  <c r="W25" i="62"/>
  <c r="R26" i="62"/>
  <c r="T26" i="62"/>
  <c r="V26" i="62"/>
  <c r="X26" i="62"/>
  <c r="D33" i="10" l="1"/>
  <c r="H33" i="10"/>
  <c r="K36" i="10"/>
  <c r="K37" i="10"/>
  <c r="J38" i="10"/>
  <c r="K38" i="10"/>
  <c r="K39" i="10"/>
  <c r="K40" i="10"/>
  <c r="K41" i="10"/>
  <c r="I42" i="10"/>
  <c r="K42" i="10"/>
  <c r="K43" i="10"/>
  <c r="K44" i="10"/>
  <c r="K45" i="10"/>
  <c r="J46" i="10"/>
  <c r="K46" i="10"/>
  <c r="K47" i="10"/>
  <c r="K48" i="10"/>
  <c r="K49" i="10"/>
  <c r="I50" i="10"/>
  <c r="K50" i="10"/>
  <c r="J36" i="10"/>
  <c r="J37" i="10"/>
  <c r="J39" i="10"/>
  <c r="J40" i="10"/>
  <c r="J42" i="10"/>
  <c r="J43" i="10"/>
  <c r="J44" i="10"/>
  <c r="J45" i="10"/>
  <c r="J47" i="10"/>
  <c r="J48" i="10"/>
  <c r="J50" i="10"/>
  <c r="I36" i="10"/>
  <c r="I37" i="10"/>
  <c r="I38" i="10"/>
  <c r="I39" i="10"/>
  <c r="I40" i="10"/>
  <c r="I41" i="10"/>
  <c r="I43" i="10"/>
  <c r="I44" i="10"/>
  <c r="I45" i="10"/>
  <c r="I46" i="10"/>
  <c r="I47" i="10"/>
  <c r="I48" i="10"/>
  <c r="I49" i="10"/>
  <c r="H51" i="10"/>
  <c r="D51" i="10"/>
  <c r="K18" i="10"/>
  <c r="K19" i="10"/>
  <c r="K20" i="10"/>
  <c r="I21" i="10"/>
  <c r="K22" i="10"/>
  <c r="K23" i="10"/>
  <c r="K24" i="10"/>
  <c r="K25" i="10"/>
  <c r="K26" i="10"/>
  <c r="K27" i="10"/>
  <c r="K28" i="10"/>
  <c r="K29" i="10"/>
  <c r="I30" i="10"/>
  <c r="K31" i="10"/>
  <c r="K32" i="10"/>
  <c r="J19" i="10"/>
  <c r="J20" i="10"/>
  <c r="J23" i="10"/>
  <c r="J24" i="10"/>
  <c r="J25" i="10"/>
  <c r="J26" i="10"/>
  <c r="J27" i="10"/>
  <c r="J29" i="10"/>
  <c r="J32" i="10"/>
  <c r="I19" i="10"/>
  <c r="I20" i="10"/>
  <c r="I23" i="10"/>
  <c r="I24" i="10"/>
  <c r="I25" i="10"/>
  <c r="I26" i="10"/>
  <c r="I27" i="10"/>
  <c r="I28" i="10"/>
  <c r="I29" i="10"/>
  <c r="I32" i="10"/>
  <c r="E33" i="10"/>
  <c r="B9" i="58"/>
  <c r="L37" i="5" s="1"/>
  <c r="B21" i="58"/>
  <c r="O37" i="5" s="1"/>
  <c r="B33" i="58"/>
  <c r="R37" i="5" s="1"/>
  <c r="B44" i="58"/>
  <c r="U37" i="5" s="1"/>
  <c r="B20" i="58"/>
  <c r="B22" i="58"/>
  <c r="B45" i="58"/>
  <c r="B43" i="58"/>
  <c r="U36" i="5" s="1"/>
  <c r="U35" i="5" s="1"/>
  <c r="B34" i="58"/>
  <c r="B32" i="58"/>
  <c r="R36" i="5" s="1"/>
  <c r="B8" i="58"/>
  <c r="B10" i="58"/>
  <c r="C21" i="43"/>
  <c r="O31" i="5" s="1"/>
  <c r="F123" i="29"/>
  <c r="F84" i="29"/>
  <c r="F45" i="29"/>
  <c r="F28" i="29"/>
  <c r="F29" i="29"/>
  <c r="F6" i="29"/>
  <c r="F37" i="29"/>
  <c r="F36" i="29"/>
  <c r="F18" i="29"/>
  <c r="F19" i="29"/>
  <c r="F20" i="29"/>
  <c r="F21" i="29"/>
  <c r="F22" i="29"/>
  <c r="F23" i="29"/>
  <c r="F24" i="29"/>
  <c r="F25" i="29"/>
  <c r="F26" i="29"/>
  <c r="F27" i="29"/>
  <c r="F30" i="29"/>
  <c r="F31" i="29"/>
  <c r="F32" i="29"/>
  <c r="F33" i="29"/>
  <c r="F34" i="29"/>
  <c r="F17" i="29"/>
  <c r="F12" i="29"/>
  <c r="F13" i="29"/>
  <c r="F14" i="29"/>
  <c r="F15" i="29"/>
  <c r="F11" i="29"/>
  <c r="F7" i="29"/>
  <c r="F8" i="29"/>
  <c r="F9" i="29"/>
  <c r="D9" i="5"/>
  <c r="C38" i="29"/>
  <c r="B24" i="30"/>
  <c r="B18" i="30"/>
  <c r="B12" i="30"/>
  <c r="B6" i="30"/>
  <c r="B24" i="12"/>
  <c r="B18" i="12"/>
  <c r="B12" i="12"/>
  <c r="B6" i="12"/>
  <c r="I105" i="47"/>
  <c r="I104" i="47"/>
  <c r="L103" i="47"/>
  <c r="I103" i="47"/>
  <c r="F103" i="47"/>
  <c r="C103" i="47"/>
  <c r="L102" i="47"/>
  <c r="I102" i="47"/>
  <c r="F102" i="47"/>
  <c r="C102" i="47"/>
  <c r="L101" i="47"/>
  <c r="I101" i="47"/>
  <c r="F101" i="47"/>
  <c r="C101" i="47"/>
  <c r="L100" i="47"/>
  <c r="I100" i="47"/>
  <c r="F100" i="47"/>
  <c r="C100" i="47"/>
  <c r="L99" i="47"/>
  <c r="I99" i="47"/>
  <c r="F99" i="47"/>
  <c r="C99" i="47"/>
  <c r="L98" i="47"/>
  <c r="I98" i="47"/>
  <c r="F98" i="47"/>
  <c r="C98" i="47"/>
  <c r="L97" i="47"/>
  <c r="I97" i="47"/>
  <c r="F97" i="47"/>
  <c r="C97" i="47"/>
  <c r="L96" i="47"/>
  <c r="I96" i="47"/>
  <c r="F96" i="47"/>
  <c r="C96" i="47"/>
  <c r="L95" i="47"/>
  <c r="I95" i="47"/>
  <c r="F95" i="47"/>
  <c r="C95" i="47"/>
  <c r="L94" i="47"/>
  <c r="I94" i="47"/>
  <c r="F94" i="47"/>
  <c r="C94" i="47"/>
  <c r="L93" i="47"/>
  <c r="I93" i="47"/>
  <c r="F93" i="47"/>
  <c r="C93" i="47"/>
  <c r="L92" i="47"/>
  <c r="I92" i="47"/>
  <c r="F92" i="47"/>
  <c r="C92" i="47"/>
  <c r="L91" i="47"/>
  <c r="I91" i="47"/>
  <c r="F91" i="47"/>
  <c r="C91" i="47"/>
  <c r="L90" i="47"/>
  <c r="I90" i="47"/>
  <c r="F90" i="47"/>
  <c r="C90" i="47"/>
  <c r="L89" i="47"/>
  <c r="I89" i="47"/>
  <c r="F89" i="47"/>
  <c r="C89" i="47"/>
  <c r="L88" i="47"/>
  <c r="I88" i="47"/>
  <c r="F88" i="47"/>
  <c r="C88" i="47"/>
  <c r="L87" i="47"/>
  <c r="I87" i="47"/>
  <c r="F87" i="47"/>
  <c r="C87" i="47"/>
  <c r="L86" i="47"/>
  <c r="I86" i="47"/>
  <c r="F86" i="47"/>
  <c r="C86" i="47"/>
  <c r="L85" i="47"/>
  <c r="I85" i="47"/>
  <c r="F85" i="47"/>
  <c r="C85" i="47"/>
  <c r="L84" i="47"/>
  <c r="I84" i="47"/>
  <c r="F84" i="47"/>
  <c r="C84" i="47"/>
  <c r="L83" i="47"/>
  <c r="I83" i="47"/>
  <c r="F83" i="47"/>
  <c r="C83" i="47"/>
  <c r="L82" i="47"/>
  <c r="I82" i="47"/>
  <c r="F82" i="47"/>
  <c r="C82" i="47"/>
  <c r="L81" i="47"/>
  <c r="I81" i="47"/>
  <c r="F81" i="47"/>
  <c r="C81" i="47"/>
  <c r="L80" i="47"/>
  <c r="I80" i="47"/>
  <c r="F80" i="47"/>
  <c r="C80" i="47"/>
  <c r="L79" i="47"/>
  <c r="I79" i="47"/>
  <c r="F79" i="47"/>
  <c r="C79" i="47"/>
  <c r="L78" i="47"/>
  <c r="I78" i="47"/>
  <c r="F78" i="47"/>
  <c r="C78" i="47"/>
  <c r="L77" i="47"/>
  <c r="I77" i="47"/>
  <c r="F77" i="47"/>
  <c r="C77" i="47"/>
  <c r="L76" i="47"/>
  <c r="I76" i="47"/>
  <c r="F76" i="47"/>
  <c r="C76" i="47"/>
  <c r="L75" i="47"/>
  <c r="I75" i="47"/>
  <c r="F75" i="47"/>
  <c r="C75" i="47"/>
  <c r="G9" i="46"/>
  <c r="G17" i="46" s="1"/>
  <c r="G8" i="46"/>
  <c r="G7" i="46"/>
  <c r="G16" i="46" s="1"/>
  <c r="G6" i="46"/>
  <c r="G19" i="46" s="1"/>
  <c r="B19" i="46" s="1"/>
  <c r="G5" i="46"/>
  <c r="G18" i="46" s="1"/>
  <c r="B18" i="46" s="1"/>
  <c r="G4" i="46"/>
  <c r="F154" i="29"/>
  <c r="F153" i="29"/>
  <c r="F135" i="29"/>
  <c r="F136" i="29"/>
  <c r="F137" i="29"/>
  <c r="F138" i="29"/>
  <c r="F139" i="29"/>
  <c r="F140" i="29"/>
  <c r="F141" i="29"/>
  <c r="F142" i="29"/>
  <c r="F143" i="29"/>
  <c r="F144" i="29"/>
  <c r="F145" i="29"/>
  <c r="F146" i="29"/>
  <c r="F147" i="29"/>
  <c r="F148" i="29"/>
  <c r="F149" i="29"/>
  <c r="F150" i="29"/>
  <c r="F151" i="29"/>
  <c r="F134" i="29"/>
  <c r="F129" i="29"/>
  <c r="F130" i="29"/>
  <c r="F131" i="29"/>
  <c r="F132" i="29"/>
  <c r="F128" i="29"/>
  <c r="F124" i="29"/>
  <c r="F125" i="29"/>
  <c r="F126" i="29"/>
  <c r="F115" i="29"/>
  <c r="F114" i="29"/>
  <c r="F96" i="29"/>
  <c r="F97" i="29"/>
  <c r="F98" i="29"/>
  <c r="F99" i="29"/>
  <c r="F100" i="29"/>
  <c r="F101" i="29"/>
  <c r="F102" i="29"/>
  <c r="F103" i="29"/>
  <c r="F104" i="29"/>
  <c r="F105" i="29"/>
  <c r="F106" i="29"/>
  <c r="F107" i="29"/>
  <c r="F108" i="29"/>
  <c r="F109" i="29"/>
  <c r="F110" i="29"/>
  <c r="F111" i="29"/>
  <c r="F112" i="29"/>
  <c r="F95" i="29"/>
  <c r="F90" i="29"/>
  <c r="F91" i="29"/>
  <c r="F92" i="29"/>
  <c r="F93" i="29"/>
  <c r="F89" i="29"/>
  <c r="F85" i="29"/>
  <c r="F86" i="29"/>
  <c r="F87" i="29"/>
  <c r="F75" i="29"/>
  <c r="F73" i="29"/>
  <c r="F72" i="29"/>
  <c r="F71" i="29"/>
  <c r="F70" i="29"/>
  <c r="F69" i="29"/>
  <c r="F68" i="29"/>
  <c r="F67" i="29"/>
  <c r="F66" i="29"/>
  <c r="F65" i="29"/>
  <c r="F64" i="29"/>
  <c r="F63" i="29"/>
  <c r="F62" i="29"/>
  <c r="F61" i="29"/>
  <c r="F60" i="29"/>
  <c r="F59" i="29"/>
  <c r="F58" i="29"/>
  <c r="F57" i="29"/>
  <c r="F56" i="29"/>
  <c r="F50" i="29"/>
  <c r="C155" i="29"/>
  <c r="F47" i="29"/>
  <c r="F76" i="29"/>
  <c r="C116" i="29"/>
  <c r="F52" i="29"/>
  <c r="C77" i="29"/>
  <c r="F53" i="29"/>
  <c r="F48" i="29"/>
  <c r="F54" i="29"/>
  <c r="F46" i="29"/>
  <c r="F51" i="29"/>
  <c r="AV1" i="5"/>
  <c r="AQ1" i="5"/>
  <c r="AL1" i="5"/>
  <c r="AG1" i="5"/>
  <c r="AB1" i="5"/>
  <c r="C23" i="5"/>
  <c r="C26" i="5"/>
  <c r="C27" i="5"/>
  <c r="R35" i="5" l="1"/>
  <c r="H31" i="5"/>
  <c r="G32" i="5"/>
  <c r="G30" i="5"/>
  <c r="O30" i="5"/>
  <c r="O29" i="5" s="1"/>
  <c r="G13" i="5"/>
  <c r="H16" i="5"/>
  <c r="G35" i="5"/>
  <c r="B46" i="58"/>
  <c r="G22" i="5"/>
  <c r="F155" i="29"/>
  <c r="G155" i="29" s="1"/>
  <c r="F116" i="29"/>
  <c r="Q26" i="5" s="1"/>
  <c r="B35" i="58"/>
  <c r="B23" i="58"/>
  <c r="O36" i="5" s="1"/>
  <c r="O35" i="5" s="1"/>
  <c r="F77" i="29"/>
  <c r="G77" i="29" s="1"/>
  <c r="F38" i="29"/>
  <c r="B11" i="58"/>
  <c r="L36" i="5" s="1"/>
  <c r="L35" i="5" s="1"/>
  <c r="G29" i="5"/>
  <c r="G21" i="46"/>
  <c r="B21" i="46" s="1"/>
  <c r="B17" i="46"/>
  <c r="B16" i="46"/>
  <c r="G20" i="46"/>
  <c r="B20" i="46" s="1"/>
  <c r="G15" i="46"/>
  <c r="B15" i="46" s="1"/>
  <c r="H37" i="5"/>
  <c r="I51" i="10"/>
  <c r="J49" i="10"/>
  <c r="J41" i="10"/>
  <c r="K51" i="10"/>
  <c r="G7" i="10"/>
  <c r="D10" i="10" s="1"/>
  <c r="J31" i="10"/>
  <c r="K30" i="10"/>
  <c r="K21" i="10"/>
  <c r="J30" i="10"/>
  <c r="I31" i="10"/>
  <c r="J21" i="10"/>
  <c r="I22" i="10"/>
  <c r="J28" i="10"/>
  <c r="J22" i="10"/>
  <c r="I18" i="10"/>
  <c r="J18" i="10"/>
  <c r="G5" i="10"/>
  <c r="D4" i="10" s="1"/>
  <c r="H30" i="5" l="1"/>
  <c r="R22" i="5"/>
  <c r="O22" i="5"/>
  <c r="K26" i="5"/>
  <c r="L22" i="5"/>
  <c r="U22" i="5"/>
  <c r="K33" i="10"/>
  <c r="J51" i="10"/>
  <c r="H36" i="5"/>
  <c r="H35" i="5" s="1"/>
  <c r="T26" i="5"/>
  <c r="G116" i="29"/>
  <c r="N26" i="5"/>
  <c r="G38" i="29"/>
  <c r="J33" i="10"/>
  <c r="I33" i="10"/>
  <c r="D14" i="10"/>
  <c r="L33" i="5" s="1"/>
  <c r="L32" i="5" s="1"/>
  <c r="L29" i="5" s="1"/>
  <c r="K4" i="10"/>
  <c r="J4" i="10"/>
  <c r="I4" i="10"/>
  <c r="H10" i="10" l="1"/>
  <c r="H22" i="5"/>
  <c r="H14" i="10"/>
  <c r="H12" i="10"/>
  <c r="H33" i="5"/>
  <c r="H32" i="5" s="1"/>
  <c r="H29" i="5" s="1"/>
  <c r="E29" i="66" l="1"/>
  <c r="U17" i="5" l="1"/>
  <c r="U13" i="5" s="1"/>
  <c r="R17" i="5"/>
  <c r="R13" i="5" s="1"/>
  <c r="O17" i="5"/>
  <c r="O13" i="5" s="1"/>
  <c r="L17" i="5"/>
  <c r="L13" i="5" l="1"/>
  <c r="H17" i="5"/>
  <c r="H13" i="5" s="1"/>
  <c r="G9" i="5" l="1"/>
  <c r="B18" i="20" s="1"/>
  <c r="H38" i="5"/>
  <c r="H9" i="5"/>
</calcChain>
</file>

<file path=xl/sharedStrings.xml><?xml version="1.0" encoding="utf-8"?>
<sst xmlns="http://schemas.openxmlformats.org/spreadsheetml/2006/main" count="1475" uniqueCount="688">
  <si>
    <t>Raumluftqualität</t>
  </si>
  <si>
    <t>Thermischer Komfort im Sommer</t>
  </si>
  <si>
    <t>Nr.</t>
  </si>
  <si>
    <t>Titel</t>
  </si>
  <si>
    <t>Punkte</t>
  </si>
  <si>
    <t>B</t>
  </si>
  <si>
    <t>Gesamt</t>
  </si>
  <si>
    <t xml:space="preserve"> </t>
  </si>
  <si>
    <t>A</t>
  </si>
  <si>
    <t>C</t>
  </si>
  <si>
    <t>3b</t>
  </si>
  <si>
    <t>D</t>
  </si>
  <si>
    <t>Ökologie der Baustoffe und Konstruktionen</t>
  </si>
  <si>
    <t>max. Punktzahl</t>
  </si>
  <si>
    <t>2b</t>
  </si>
  <si>
    <t xml:space="preserve">Messung Raumluftqualität </t>
  </si>
  <si>
    <t>erreichte Punkte</t>
  </si>
  <si>
    <t>Beschreibung</t>
  </si>
  <si>
    <t>Primärenergiebedarf</t>
  </si>
  <si>
    <t>Kriterium</t>
  </si>
  <si>
    <t>Summe</t>
  </si>
  <si>
    <t>Auswertung</t>
  </si>
  <si>
    <t xml:space="preserve">Auswertung </t>
  </si>
  <si>
    <t>Kl I</t>
  </si>
  <si>
    <t>&lt; 300 µg/m³</t>
  </si>
  <si>
    <t>50 Punkte</t>
  </si>
  <si>
    <t>Kl II</t>
  </si>
  <si>
    <t>35 Punkte</t>
  </si>
  <si>
    <t>Kl III</t>
  </si>
  <si>
    <t>20 Punkte</t>
  </si>
  <si>
    <t>Kl IV</t>
  </si>
  <si>
    <t>0 Punkte, 
Quellensuche empfohlen</t>
  </si>
  <si>
    <t>Quellensuche erforderlich</t>
  </si>
  <si>
    <t>Formaldehyd</t>
  </si>
  <si>
    <t>&lt; 0,04 ppm</t>
  </si>
  <si>
    <t>10 Punkte</t>
  </si>
  <si>
    <t>5 Punkte</t>
  </si>
  <si>
    <r>
      <rPr>
        <sz val="10"/>
        <rFont val="Arial"/>
        <family val="2"/>
      </rPr>
      <t>Kunststofffolien und Vliese jeglicher Art (Dampfbremsen, Abdichtungsbahnen, Trennschichten, Baufolien etc.)</t>
    </r>
    <r>
      <rPr>
        <sz val="10"/>
        <color indexed="8"/>
        <rFont val="Arial"/>
        <family val="2"/>
      </rPr>
      <t xml:space="preserve"> und Dichtstoffe </t>
    </r>
  </si>
  <si>
    <t>Punkte Neubau</t>
  </si>
  <si>
    <t>Projekt</t>
  </si>
  <si>
    <t>Standortgemeinde</t>
  </si>
  <si>
    <t>Ergebnisse</t>
  </si>
  <si>
    <t>Eingabe</t>
  </si>
  <si>
    <t>Eingabefelder</t>
  </si>
  <si>
    <t>Rechenfelder</t>
  </si>
  <si>
    <t xml:space="preserve">Projektdaten </t>
  </si>
  <si>
    <t>Genaue Bezeichnung des Bauvorhabens</t>
  </si>
  <si>
    <t>Zeitpunkt der Fertigstellung</t>
  </si>
  <si>
    <t>Datum</t>
  </si>
  <si>
    <t>Architekt</t>
  </si>
  <si>
    <t>Anmerkungen:</t>
  </si>
  <si>
    <t xml:space="preserve">C 2.1 Messung Raumluftqualität </t>
  </si>
  <si>
    <t>Stand:</t>
  </si>
  <si>
    <t>Stand 1</t>
  </si>
  <si>
    <t>Stand 2</t>
  </si>
  <si>
    <t>Stand 3</t>
  </si>
  <si>
    <t>Stand 4</t>
  </si>
  <si>
    <t>Stand 5</t>
  </si>
  <si>
    <t>Stand 6</t>
  </si>
  <si>
    <t>kWh/(m²a)</t>
  </si>
  <si>
    <t>Teilbepunktung</t>
  </si>
  <si>
    <t>0…nicht vorhanden/erfüllt
1…geringer Erfüllungsgrad
5…sehr hoher Erfüllungsgrad</t>
  </si>
  <si>
    <t>Kommentare / Maßnahmen</t>
  </si>
  <si>
    <t>Wärmeschutz Winter</t>
  </si>
  <si>
    <t>Wärmegewinne und Berücksichtigung der Nutzbarkeit</t>
  </si>
  <si>
    <t>Kompaktheit</t>
  </si>
  <si>
    <t>Heizwärmebedarf</t>
  </si>
  <si>
    <t>Wärmeschutz Sommer</t>
  </si>
  <si>
    <t>Fensterflächenanteil und -zuordnung</t>
  </si>
  <si>
    <t>Sonnenschutzmaßnahme</t>
  </si>
  <si>
    <t>verfügbare Speichermasse</t>
  </si>
  <si>
    <t>freie Nachtkühlung</t>
  </si>
  <si>
    <t>außeninduzierter Kühlbedarf</t>
  </si>
  <si>
    <t>Energieeffizienz Haustechnik</t>
  </si>
  <si>
    <t>Lüftungsanlage WRG</t>
  </si>
  <si>
    <t>Lüftungsanlage Regelung und Dimensionierung</t>
  </si>
  <si>
    <t>Druckverlustminimierung</t>
  </si>
  <si>
    <t>Wärmebereitstellung Heizung</t>
  </si>
  <si>
    <t>Nutzung erneurbarer Energien für Heizung</t>
  </si>
  <si>
    <t>Wärmeverteilung Heizung</t>
  </si>
  <si>
    <t>Wärmeabgabe Heizung/Regelung</t>
  </si>
  <si>
    <t>Wärmebereitstellung Warmwasser</t>
  </si>
  <si>
    <t>Wärmeverteilung, Puffer Warmwasser</t>
  </si>
  <si>
    <t>Nutzung erneurbarer Energien Warmwasser</t>
  </si>
  <si>
    <t>Wärmeabgabe Warmwasser</t>
  </si>
  <si>
    <t>Keine technische Kühlung (aktive und passive Systeme)</t>
  </si>
  <si>
    <t>Nutzung erneurbarer Energien für Kühlung</t>
  </si>
  <si>
    <t>Nutzerorientiertes Monitoring ; Nutzerschulung</t>
  </si>
  <si>
    <t>Licht und Beleuchtung</t>
  </si>
  <si>
    <t>Hilfsstrom Haustechnik</t>
  </si>
  <si>
    <t>Energieeffizienz Lift</t>
  </si>
  <si>
    <t>Endenergiebedarf</t>
  </si>
  <si>
    <t>Qualität der Ausführung</t>
  </si>
  <si>
    <t>Luftdichtheit</t>
  </si>
  <si>
    <t>Wärmebrücken</t>
  </si>
  <si>
    <r>
      <t xml:space="preserve">Kommissionelle Beurteilung 
(unkonditionierter Bereich, </t>
    </r>
    <r>
      <rPr>
        <b/>
        <u/>
        <sz val="12"/>
        <rFont val="Arial"/>
        <family val="2"/>
      </rPr>
      <t>offener</t>
    </r>
    <r>
      <rPr>
        <b/>
        <sz val="12"/>
        <rFont val="Arial"/>
        <family val="2"/>
      </rPr>
      <t xml:space="preserve"> Bereich)</t>
    </r>
  </si>
  <si>
    <r>
      <t>m</t>
    </r>
    <r>
      <rPr>
        <b/>
        <sz val="18"/>
        <rFont val="Arial"/>
        <family val="2"/>
      </rPr>
      <t>³</t>
    </r>
  </si>
  <si>
    <t>Überpunktung (105% in Spalte C) möglich</t>
  </si>
  <si>
    <r>
      <rPr>
        <b/>
        <u/>
        <sz val="14"/>
        <rFont val="Arial"/>
        <family val="2"/>
      </rPr>
      <t xml:space="preserve">Volumen </t>
    </r>
    <r>
      <rPr>
        <b/>
        <u/>
        <sz val="11"/>
        <rFont val="Arial"/>
        <family val="2"/>
      </rPr>
      <t>(überbaute Volumen bzw. falls vorhanden konditioniertes Volumen)</t>
    </r>
  </si>
  <si>
    <t>vereinfachte Berechnung Wirtschaftlichkeit</t>
  </si>
  <si>
    <t>Entsorgungsindikator EI</t>
  </si>
  <si>
    <t>vollkonditioniert</t>
  </si>
  <si>
    <t>unkonditioniert
(offen)</t>
  </si>
  <si>
    <r>
      <rPr>
        <b/>
        <u/>
        <sz val="12"/>
        <rFont val="Arial"/>
        <family val="2"/>
      </rPr>
      <t>Voll</t>
    </r>
    <r>
      <rPr>
        <b/>
        <sz val="12"/>
        <rFont val="Arial"/>
        <family val="2"/>
      </rPr>
      <t>konditioniert</t>
    </r>
  </si>
  <si>
    <t>Kommissionelle Bewertung</t>
  </si>
  <si>
    <r>
      <t xml:space="preserve">unkonditioniert, </t>
    </r>
    <r>
      <rPr>
        <b/>
        <u/>
        <sz val="12"/>
        <rFont val="Arial"/>
        <family val="2"/>
      </rPr>
      <t>offen</t>
    </r>
    <r>
      <rPr>
        <b/>
        <sz val="12"/>
        <rFont val="Arial"/>
        <family val="2"/>
      </rPr>
      <t xml:space="preserve"> </t>
    </r>
  </si>
  <si>
    <t xml:space="preserve">Punkte werden im Blatt 
"Komm. Beurteilung" 
vergeben: </t>
  </si>
  <si>
    <t>Maßnahme</t>
  </si>
  <si>
    <t>Zielerreichung</t>
  </si>
  <si>
    <t>Fachberatung</t>
  </si>
  <si>
    <t>Beratungsprotokoll</t>
  </si>
  <si>
    <t>1.</t>
  </si>
  <si>
    <t>4b</t>
  </si>
  <si>
    <t>Punkte (gesamt max. 10)</t>
  </si>
  <si>
    <t>Punkte (gesamt max. 50)</t>
  </si>
  <si>
    <t xml:space="preserve">D 2.2 Entsorgungsindikator (EI) </t>
  </si>
  <si>
    <t>Haustechnik-Konzept</t>
  </si>
  <si>
    <t>Kommentierung Haustechnik</t>
  </si>
  <si>
    <t>Konzept für Betrieb &amp; Wartung</t>
  </si>
  <si>
    <t>Einregulierung</t>
  </si>
  <si>
    <t>Einsatz von Recyclingbeton</t>
  </si>
  <si>
    <t>unkonditioniert (offen)</t>
  </si>
  <si>
    <r>
      <t>D 2.1 Ökologischer Kennwert des Gebäudes (OI3</t>
    </r>
    <r>
      <rPr>
        <b/>
        <sz val="9"/>
        <rFont val="Arial"/>
        <family val="2"/>
      </rPr>
      <t>BG3, BZF</t>
    </r>
    <r>
      <rPr>
        <b/>
        <sz val="12"/>
        <rFont val="Arial"/>
        <family val="2"/>
      </rPr>
      <t xml:space="preserve">) </t>
    </r>
  </si>
  <si>
    <r>
      <t>OI3(BGF</t>
    </r>
    <r>
      <rPr>
        <sz val="6"/>
        <rFont val="Arial"/>
        <family val="2"/>
      </rPr>
      <t>3</t>
    </r>
    <r>
      <rPr>
        <sz val="10"/>
        <rFont val="Arial"/>
        <family val="2"/>
      </rPr>
      <t>,BZF) nach Ecosoft 5.0 oder Eco2soft</t>
    </r>
  </si>
  <si>
    <t>Artenschutz</t>
  </si>
  <si>
    <t>Artenschutz am Gebäude</t>
  </si>
  <si>
    <t>Reinigungs- und Instandhaltungsfreundlichkeit</t>
  </si>
  <si>
    <t>Regenwassernutzung</t>
  </si>
  <si>
    <t>max. 6</t>
  </si>
  <si>
    <t>Schmutzfangzonen</t>
  </si>
  <si>
    <t>max. 3</t>
  </si>
  <si>
    <t>max. 2</t>
  </si>
  <si>
    <t>Punkte 
(gesamt max. 10)</t>
  </si>
  <si>
    <t>Punkte (gesamt Max. 60)</t>
  </si>
  <si>
    <t>Schutz vor Überschwemmungen</t>
  </si>
  <si>
    <t>Vermeidung von Überhitzung</t>
  </si>
  <si>
    <t>Bestimmung der maximal zulässigen Übertemperaturgradstunden</t>
  </si>
  <si>
    <t>Nachweis über den thermischen Komfort im Sommer</t>
  </si>
  <si>
    <t xml:space="preserve">Nutzungsstunden pro Jahr </t>
  </si>
  <si>
    <t>h/a</t>
  </si>
  <si>
    <t>Übertemperaturgradstunden (maximal zulässig)</t>
  </si>
  <si>
    <t>Kh/a</t>
  </si>
  <si>
    <t>Übertemperaturgradstunden- unterschreitung um 20 %</t>
  </si>
  <si>
    <t>Zusatzpunkte bei Ausführung einer passiven Kühlung  (z.B. freie Nachtlüftung, mechanische Lüftungsanlage, adiabate Abluftbefeuchtung, Grundwasserkühlung ohne Kompressionskälte, Solekühlung ohne Kompressionskälte)</t>
  </si>
  <si>
    <t>max. 75</t>
  </si>
  <si>
    <r>
      <t>kg</t>
    </r>
    <r>
      <rPr>
        <vertAlign val="subscript"/>
        <sz val="10"/>
        <color theme="1"/>
        <rFont val="Arial"/>
        <family val="2"/>
      </rPr>
      <t>CO2</t>
    </r>
    <r>
      <rPr>
        <sz val="10"/>
        <color theme="1"/>
        <rFont val="Arial"/>
        <family val="2"/>
      </rPr>
      <t>/(m²a)</t>
    </r>
  </si>
  <si>
    <t>kgCO2/(m²a)</t>
  </si>
  <si>
    <t>Wert</t>
  </si>
  <si>
    <r>
      <t>CO</t>
    </r>
    <r>
      <rPr>
        <b/>
        <vertAlign val="subscript"/>
        <sz val="10"/>
        <color theme="1"/>
        <rFont val="Arial"/>
        <family val="2"/>
      </rPr>
      <t>2</t>
    </r>
    <r>
      <rPr>
        <b/>
        <sz val="10"/>
        <color theme="1"/>
        <rFont val="Arial"/>
        <family val="2"/>
      </rPr>
      <t>-Grenzwerte oben</t>
    </r>
  </si>
  <si>
    <r>
      <t>CO</t>
    </r>
    <r>
      <rPr>
        <b/>
        <vertAlign val="subscript"/>
        <sz val="10"/>
        <color theme="1"/>
        <rFont val="Arial"/>
        <family val="2"/>
      </rPr>
      <t>2</t>
    </r>
    <r>
      <rPr>
        <b/>
        <sz val="10"/>
        <color theme="1"/>
        <rFont val="Arial"/>
        <family val="2"/>
      </rPr>
      <t>-Grenzwerte unten</t>
    </r>
  </si>
  <si>
    <t>Kühlbedarf</t>
  </si>
  <si>
    <r>
      <t>CO</t>
    </r>
    <r>
      <rPr>
        <vertAlign val="subscript"/>
        <sz val="10"/>
        <color theme="1"/>
        <rFont val="Arial"/>
        <family val="2"/>
      </rPr>
      <t>2</t>
    </r>
    <r>
      <rPr>
        <sz val="10"/>
        <color theme="1"/>
        <rFont val="Arial"/>
        <family val="2"/>
      </rPr>
      <t>-Äquivalente</t>
    </r>
  </si>
  <si>
    <t>Minderbeheizte Gebäude</t>
  </si>
  <si>
    <t>Objekttyp / Funktion des Gebäudes</t>
  </si>
  <si>
    <t>Datum der Baueingabe</t>
  </si>
  <si>
    <t>LNB-Bewertungspunkte</t>
  </si>
  <si>
    <t>LNB - Aussteller</t>
  </si>
  <si>
    <t xml:space="preserve">LNB - Erstelldatum </t>
  </si>
  <si>
    <t>Firmen-Stempel und Unterschrift</t>
  </si>
  <si>
    <t>Bezugsfläche</t>
  </si>
  <si>
    <r>
      <t>m</t>
    </r>
    <r>
      <rPr>
        <vertAlign val="superscript"/>
        <sz val="10"/>
        <color theme="1"/>
        <rFont val="Arial"/>
        <family val="2"/>
      </rPr>
      <t>2</t>
    </r>
  </si>
  <si>
    <r>
      <t>Heizwärmebedarf Q</t>
    </r>
    <r>
      <rPr>
        <vertAlign val="subscript"/>
        <sz val="10"/>
        <color theme="1"/>
        <rFont val="Arial"/>
        <family val="2"/>
      </rPr>
      <t>h,b</t>
    </r>
  </si>
  <si>
    <r>
      <t>Kühlbedarf Q</t>
    </r>
    <r>
      <rPr>
        <vertAlign val="subscript"/>
        <sz val="10"/>
        <color theme="1"/>
        <rFont val="Arial"/>
        <family val="2"/>
      </rPr>
      <t>c,b</t>
    </r>
  </si>
  <si>
    <r>
      <t>Primärenergiebedarf Q</t>
    </r>
    <r>
      <rPr>
        <vertAlign val="subscript"/>
        <sz val="10"/>
        <color theme="1"/>
        <rFont val="Arial"/>
        <family val="2"/>
      </rPr>
      <t>p</t>
    </r>
  </si>
  <si>
    <r>
      <t>Anforderungswert Primärenergiebedarf Q</t>
    </r>
    <r>
      <rPr>
        <vertAlign val="subscript"/>
        <sz val="10"/>
        <color theme="1"/>
        <rFont val="Arial"/>
        <family val="2"/>
      </rPr>
      <t>p</t>
    </r>
  </si>
  <si>
    <r>
      <t>Emissionen CO</t>
    </r>
    <r>
      <rPr>
        <vertAlign val="subscript"/>
        <sz val="10"/>
        <color theme="1"/>
        <rFont val="Arial"/>
        <family val="2"/>
      </rPr>
      <t>2</t>
    </r>
    <r>
      <rPr>
        <sz val="10"/>
        <color theme="1"/>
        <rFont val="Arial"/>
        <family val="2"/>
      </rPr>
      <t>-Äquivalente</t>
    </r>
  </si>
  <si>
    <r>
      <t>Relation Q</t>
    </r>
    <r>
      <rPr>
        <vertAlign val="subscript"/>
        <sz val="10"/>
        <color theme="1"/>
        <rFont val="Arial"/>
        <family val="2"/>
      </rPr>
      <t>p</t>
    </r>
    <r>
      <rPr>
        <sz val="10"/>
        <color theme="1"/>
        <rFont val="Arial"/>
        <family val="2"/>
      </rPr>
      <t xml:space="preserve"> zu Q</t>
    </r>
    <r>
      <rPr>
        <vertAlign val="subscript"/>
        <sz val="10"/>
        <color theme="1"/>
        <rFont val="Arial"/>
        <family val="2"/>
      </rPr>
      <t>p</t>
    </r>
    <r>
      <rPr>
        <sz val="10"/>
        <color theme="1"/>
        <rFont val="Arial"/>
        <family val="2"/>
      </rPr>
      <t xml:space="preserve"> Anforderungswert</t>
    </r>
  </si>
  <si>
    <t xml:space="preserve">- </t>
  </si>
  <si>
    <r>
      <t>Korrektur Primärenergiebedarf Q</t>
    </r>
    <r>
      <rPr>
        <vertAlign val="subscript"/>
        <sz val="10"/>
        <color theme="1"/>
        <rFont val="Arial"/>
        <family val="2"/>
      </rPr>
      <t>p</t>
    </r>
  </si>
  <si>
    <r>
      <t>Korrektur CO</t>
    </r>
    <r>
      <rPr>
        <vertAlign val="subscript"/>
        <sz val="10"/>
        <color theme="1"/>
        <rFont val="Arial"/>
        <family val="2"/>
      </rPr>
      <t>2</t>
    </r>
  </si>
  <si>
    <r>
      <t>Q</t>
    </r>
    <r>
      <rPr>
        <b/>
        <vertAlign val="subscript"/>
        <sz val="10"/>
        <color theme="1"/>
        <rFont val="Arial"/>
        <family val="2"/>
      </rPr>
      <t>h,b</t>
    </r>
    <r>
      <rPr>
        <b/>
        <sz val="10"/>
        <color theme="1"/>
        <rFont val="Arial"/>
        <family val="2"/>
      </rPr>
      <t>-Punkte</t>
    </r>
  </si>
  <si>
    <r>
      <t>Q</t>
    </r>
    <r>
      <rPr>
        <b/>
        <vertAlign val="subscript"/>
        <sz val="10"/>
        <color theme="1"/>
        <rFont val="Arial"/>
        <family val="2"/>
      </rPr>
      <t>c,b</t>
    </r>
    <r>
      <rPr>
        <b/>
        <sz val="10"/>
        <color theme="1"/>
        <rFont val="Arial"/>
        <family val="2"/>
      </rPr>
      <t>-Punkte</t>
    </r>
  </si>
  <si>
    <r>
      <t>Q</t>
    </r>
    <r>
      <rPr>
        <b/>
        <vertAlign val="subscript"/>
        <sz val="10"/>
        <color theme="1"/>
        <rFont val="Arial"/>
        <family val="2"/>
      </rPr>
      <t>p</t>
    </r>
    <r>
      <rPr>
        <b/>
        <sz val="10"/>
        <color theme="1"/>
        <rFont val="Arial"/>
        <family val="2"/>
      </rPr>
      <t>-Punkte</t>
    </r>
  </si>
  <si>
    <r>
      <t>CO</t>
    </r>
    <r>
      <rPr>
        <b/>
        <vertAlign val="subscript"/>
        <sz val="10"/>
        <color theme="1"/>
        <rFont val="Arial"/>
        <family val="2"/>
      </rPr>
      <t>2</t>
    </r>
    <r>
      <rPr>
        <b/>
        <sz val="10"/>
        <color theme="1"/>
        <rFont val="Arial"/>
        <family val="2"/>
      </rPr>
      <t>-Punkte</t>
    </r>
  </si>
  <si>
    <r>
      <t>Q</t>
    </r>
    <r>
      <rPr>
        <b/>
        <vertAlign val="subscript"/>
        <sz val="10"/>
        <color theme="1"/>
        <rFont val="Arial"/>
        <family val="2"/>
      </rPr>
      <t>h,b</t>
    </r>
    <r>
      <rPr>
        <b/>
        <sz val="10"/>
        <color theme="1"/>
        <rFont val="Arial"/>
        <family val="2"/>
      </rPr>
      <t>-Grenzwerte oben</t>
    </r>
  </si>
  <si>
    <r>
      <t>Q</t>
    </r>
    <r>
      <rPr>
        <b/>
        <vertAlign val="subscript"/>
        <sz val="10"/>
        <color theme="1"/>
        <rFont val="Arial"/>
        <family val="2"/>
      </rPr>
      <t>h,b</t>
    </r>
    <r>
      <rPr>
        <b/>
        <sz val="10"/>
        <color theme="1"/>
        <rFont val="Arial"/>
        <family val="2"/>
      </rPr>
      <t>-Grenzwerte unten</t>
    </r>
  </si>
  <si>
    <r>
      <t>Q</t>
    </r>
    <r>
      <rPr>
        <b/>
        <vertAlign val="subscript"/>
        <sz val="10"/>
        <color theme="1"/>
        <rFont val="Arial"/>
        <family val="2"/>
      </rPr>
      <t>c,b</t>
    </r>
    <r>
      <rPr>
        <b/>
        <sz val="10"/>
        <color theme="1"/>
        <rFont val="Arial"/>
        <family val="2"/>
      </rPr>
      <t>-Grenzwerte oben</t>
    </r>
  </si>
  <si>
    <r>
      <t>Q</t>
    </r>
    <r>
      <rPr>
        <b/>
        <vertAlign val="subscript"/>
        <sz val="10"/>
        <color theme="1"/>
        <rFont val="Arial"/>
        <family val="2"/>
      </rPr>
      <t>c,b</t>
    </r>
    <r>
      <rPr>
        <b/>
        <sz val="10"/>
        <color theme="1"/>
        <rFont val="Arial"/>
        <family val="2"/>
      </rPr>
      <t>-Grenzwerte unten</t>
    </r>
  </si>
  <si>
    <r>
      <t>Q</t>
    </r>
    <r>
      <rPr>
        <b/>
        <vertAlign val="subscript"/>
        <sz val="10"/>
        <color theme="1"/>
        <rFont val="Arial"/>
        <family val="2"/>
      </rPr>
      <t>p</t>
    </r>
    <r>
      <rPr>
        <b/>
        <sz val="10"/>
        <color theme="1"/>
        <rFont val="Arial"/>
        <family val="2"/>
      </rPr>
      <t>-Grenzwerte oben</t>
    </r>
  </si>
  <si>
    <r>
      <t>Q</t>
    </r>
    <r>
      <rPr>
        <b/>
        <vertAlign val="subscript"/>
        <sz val="10"/>
        <color theme="1"/>
        <rFont val="Arial"/>
        <family val="2"/>
      </rPr>
      <t>p</t>
    </r>
    <r>
      <rPr>
        <b/>
        <sz val="10"/>
        <color theme="1"/>
        <rFont val="Arial"/>
        <family val="2"/>
      </rPr>
      <t>-Grenzwerte unten</t>
    </r>
  </si>
  <si>
    <t>1b</t>
  </si>
  <si>
    <t>Eingabefeld GEG 2020</t>
  </si>
  <si>
    <r>
      <t>B 1b Heizwärmebedarf Q</t>
    </r>
    <r>
      <rPr>
        <b/>
        <vertAlign val="subscript"/>
        <sz val="12"/>
        <color theme="1"/>
        <rFont val="Arial"/>
        <family val="2"/>
      </rPr>
      <t>h,b</t>
    </r>
    <r>
      <rPr>
        <b/>
        <sz val="12"/>
        <color theme="1"/>
        <rFont val="Arial"/>
        <family val="2"/>
      </rPr>
      <t>, Kühlbedarf Q</t>
    </r>
    <r>
      <rPr>
        <b/>
        <vertAlign val="subscript"/>
        <sz val="12"/>
        <color theme="1"/>
        <rFont val="Arial"/>
        <family val="2"/>
      </rPr>
      <t>c,b</t>
    </r>
    <r>
      <rPr>
        <b/>
        <sz val="12"/>
        <color theme="1"/>
        <rFont val="Arial"/>
        <family val="2"/>
      </rPr>
      <t>, Primärenergiebedarf Q</t>
    </r>
    <r>
      <rPr>
        <b/>
        <vertAlign val="subscript"/>
        <sz val="12"/>
        <color theme="1"/>
        <rFont val="Arial"/>
        <family val="2"/>
      </rPr>
      <t>p</t>
    </r>
    <r>
      <rPr>
        <b/>
        <sz val="12"/>
        <color theme="1"/>
        <rFont val="Arial"/>
        <family val="2"/>
      </rPr>
      <t xml:space="preserve"> und Emissionen CO</t>
    </r>
    <r>
      <rPr>
        <b/>
        <vertAlign val="subscript"/>
        <sz val="12"/>
        <color theme="1"/>
        <rFont val="Arial"/>
        <family val="2"/>
      </rPr>
      <t>2</t>
    </r>
    <r>
      <rPr>
        <b/>
        <sz val="12"/>
        <color theme="1"/>
        <rFont val="Arial"/>
        <family val="2"/>
      </rPr>
      <t xml:space="preserve">-Äquivalente nach GEG 2020
für den </t>
    </r>
    <r>
      <rPr>
        <b/>
        <u/>
        <sz val="12"/>
        <color theme="1"/>
        <rFont val="Arial"/>
        <family val="2"/>
      </rPr>
      <t>vollkonditionierten</t>
    </r>
    <r>
      <rPr>
        <b/>
        <sz val="12"/>
        <color theme="1"/>
        <rFont val="Arial"/>
        <family val="2"/>
      </rPr>
      <t xml:space="preserve"> Bereich</t>
    </r>
    <r>
      <rPr>
        <sz val="12"/>
        <color theme="1"/>
        <rFont val="Arial"/>
        <family val="2"/>
      </rPr>
      <t xml:space="preserve"> (falls ein Energieausweis erforderlich ist)</t>
    </r>
  </si>
  <si>
    <t>Eingabefeld GEG 2020 minderbeheizt</t>
  </si>
  <si>
    <t>Ergebnisse minderbeheizte Gebäude</t>
  </si>
  <si>
    <t>Rechenfelder minderbeheizte Gebäude</t>
  </si>
  <si>
    <t>Qualität der Gebäudehülle und Kompaktheit</t>
  </si>
  <si>
    <t>OI3-Wert Max.</t>
  </si>
  <si>
    <t>OI3-Wert Min.</t>
  </si>
  <si>
    <t>EI10-Wert Max.</t>
  </si>
  <si>
    <t>EI10-Wert Min.</t>
  </si>
  <si>
    <t xml:space="preserve">Nachweis Einhaltung der DIN 4108-2 (für alle kritischen Räume) und Glasanteil der vertikalen Fassade des Gebäudes &lt;= 35% </t>
  </si>
  <si>
    <t>Der LNB-Aussteller bestätigt mit nachstehenden Erklärungen, dass
- die Erstelllung des Leitfaden Nachhaltig Bauen mit den erzielten Bewertungspunkten nach fachlich bestem Wissen und Gewissen durchgeführt wurde
- sofern alle für die Ausstellung erforderlichen Unterlagen korrekt  und vollständig übermittelt wurden, ein Prüfer/Aussteller nicht in den Planungs- und Ausführungsprozess des Bauvorhabens eingebunden war und überdies hierfür keinerlei Honorare erhalten hat
- dem LNB-Aussteller bewusst ist, dass,  falls sich nachträglich herausstellt, dass die Bewertungspunkte nicht stimmen sollten, es zu einer Kürzung des Fördersatzes und der maximal anerkennbaren Kosten für die Gemeinde kommen kann.</t>
  </si>
  <si>
    <t>gering beheizt</t>
  </si>
  <si>
    <t>frostfrei</t>
  </si>
  <si>
    <t>Kommissionelle Beurteilung 
(vollkonditionierter Bereich)</t>
  </si>
  <si>
    <t>LNB Zertifizierungsstelle</t>
  </si>
  <si>
    <t>LNB Zertifizierer</t>
  </si>
  <si>
    <t xml:space="preserve">frostfrei (bis 5°C beheizt)
</t>
  </si>
  <si>
    <t xml:space="preserve">Gering beheizt (+6°C bis 17°C)
</t>
  </si>
  <si>
    <t>Vollkonditioniert (ab + 18°C)</t>
  </si>
  <si>
    <r>
      <t xml:space="preserve">LNB - Leitfaden Nachhaltig Bauen  
Bewertung reduziert beheizte Gebäude
</t>
    </r>
    <r>
      <rPr>
        <b/>
        <sz val="11"/>
        <rFont val="Arial"/>
        <family val="2"/>
      </rPr>
      <t>Version 2024-1</t>
    </r>
  </si>
  <si>
    <r>
      <rPr>
        <b/>
        <u/>
        <sz val="12"/>
        <rFont val="Arial"/>
        <family val="2"/>
      </rPr>
      <t xml:space="preserve">Gering </t>
    </r>
    <r>
      <rPr>
        <b/>
        <sz val="12"/>
        <rFont val="Arial"/>
        <family val="2"/>
      </rPr>
      <t>beheizt (+6°C bis 17°C)</t>
    </r>
  </si>
  <si>
    <r>
      <rPr>
        <b/>
        <u/>
        <sz val="12"/>
        <rFont val="Arial"/>
        <family val="2"/>
      </rPr>
      <t>gering</t>
    </r>
    <r>
      <rPr>
        <b/>
        <sz val="12"/>
        <rFont val="Arial"/>
        <family val="2"/>
      </rPr>
      <t xml:space="preserve"> beheizt (+6 °C bis 17 °C) </t>
    </r>
  </si>
  <si>
    <t>frostfrei (bis 5 °C beheizt)</t>
  </si>
  <si>
    <t>Kommissionelle Beurteilung 
(gering beheizter Bereich)</t>
  </si>
  <si>
    <t>Kommissionelle Beurteilung 
(frostfreier Bereich)</t>
  </si>
  <si>
    <t>Primärenergiebedarf Qp</t>
  </si>
  <si>
    <t>max. 30</t>
  </si>
  <si>
    <t>max. 15</t>
  </si>
  <si>
    <r>
      <t xml:space="preserve">Fenster </t>
    </r>
    <r>
      <rPr>
        <sz val="10"/>
        <rFont val="Arial"/>
        <family val="2"/>
      </rPr>
      <t>mind. 80% aus entsprechendem Holz und 100% der Fenster PVC-frei</t>
    </r>
  </si>
  <si>
    <t>Fläche in m²</t>
  </si>
  <si>
    <t>M</t>
  </si>
  <si>
    <t>Auswahl Dimensionierungsart</t>
  </si>
  <si>
    <t>Dachfläche</t>
  </si>
  <si>
    <t>Bewässerung/WCs</t>
  </si>
  <si>
    <t>Nutzungstage Gebäude pro Woche</t>
  </si>
  <si>
    <t>Anzahl WC's</t>
  </si>
  <si>
    <t>Anzahl Urinale</t>
  </si>
  <si>
    <t>Zu bewässernde Außenanlagen (m²)</t>
  </si>
  <si>
    <t>Anschließbare Dachfläche (m²)</t>
  </si>
  <si>
    <t>Dimensionierung der Zisterne (l)</t>
  </si>
  <si>
    <t>Flüchtige organische Verbindungen (VOC)</t>
  </si>
  <si>
    <t>Flächengewichtete Mittel der Einzelmessungen</t>
  </si>
  <si>
    <t>Abfrage flächengewichtete Werte</t>
  </si>
  <si>
    <t>Mindestanforderung</t>
  </si>
  <si>
    <t>Sollwert</t>
  </si>
  <si>
    <t>Zielwert</t>
  </si>
  <si>
    <t>VOC + Formaldehyd</t>
  </si>
  <si>
    <t>≥ 300 - &lt; 500 µg/m³</t>
  </si>
  <si>
    <t>≥ 500 - &lt; 1.000 µg/m³</t>
  </si>
  <si>
    <t xml:space="preserve"> ≥ 1.000 – &lt; 3000 µg/m³</t>
  </si>
  <si>
    <t>≥ 3.000 µg/m³</t>
  </si>
  <si>
    <t>Endergebnis LNB_QNG</t>
  </si>
  <si>
    <t>ZIELWERT</t>
  </si>
  <si>
    <t>Anzahl Messergebnisse VOC</t>
  </si>
  <si>
    <t>≥ 0,04 - &lt; 0,08 ppm</t>
  </si>
  <si>
    <t>Anzahl Messergebnisse Formaldehyd</t>
  </si>
  <si>
    <t>SOLLWERT</t>
  </si>
  <si>
    <t>≥ 0,08 - &lt; 0,1 ppm</t>
  </si>
  <si>
    <t>Anzahl Messergebnisse übereinstimmend</t>
  </si>
  <si>
    <t>≥ 0,1 ppm</t>
  </si>
  <si>
    <t>MINDESTANFORDERUNG</t>
  </si>
  <si>
    <t>Abfrage Einzelwerte</t>
  </si>
  <si>
    <t>Fläche (m²)</t>
  </si>
  <si>
    <t>Ergebnis Messung (µg/m³)</t>
  </si>
  <si>
    <t>Einstufung in Klasse</t>
  </si>
  <si>
    <t>Messwert*Fläche</t>
  </si>
  <si>
    <t xml:space="preserve">Sollwert </t>
  </si>
  <si>
    <t>Messung 1</t>
  </si>
  <si>
    <t xml:space="preserve">Bodenbelag: </t>
  </si>
  <si>
    <t>Messung 2</t>
  </si>
  <si>
    <t>Messung 3</t>
  </si>
  <si>
    <t>Messung 4</t>
  </si>
  <si>
    <t>Messung 5</t>
  </si>
  <si>
    <t>Messung 6</t>
  </si>
  <si>
    <t>Messung 7</t>
  </si>
  <si>
    <t>Messung 8</t>
  </si>
  <si>
    <t>Messung 9</t>
  </si>
  <si>
    <t>Messung 10</t>
  </si>
  <si>
    <t>Messung 11</t>
  </si>
  <si>
    <t>Messung 12</t>
  </si>
  <si>
    <t>Messung 13</t>
  </si>
  <si>
    <t>Messung 14</t>
  </si>
  <si>
    <t>Messung 15</t>
  </si>
  <si>
    <t>Ergebnis Messung (ppm)</t>
  </si>
  <si>
    <r>
      <rPr>
        <b/>
        <sz val="10"/>
        <rFont val="Arial"/>
        <family val="2"/>
      </rPr>
      <t>OI</t>
    </r>
    <r>
      <rPr>
        <b/>
        <vertAlign val="subscript"/>
        <sz val="10"/>
        <rFont val="Arial"/>
        <family val="2"/>
      </rPr>
      <t>BG3,BZF</t>
    </r>
    <r>
      <rPr>
        <sz val="10"/>
        <rFont val="Arial"/>
        <family val="2"/>
      </rPr>
      <t xml:space="preserve"> (Berechnung mit Eco2soft, Bilanzgrenze BG3)</t>
    </r>
  </si>
  <si>
    <t>GWP Total Max. CO2 equ. / m² BZF</t>
  </si>
  <si>
    <r>
      <rPr>
        <b/>
        <sz val="10"/>
        <rFont val="Arial"/>
        <family val="2"/>
      </rPr>
      <t>GWP</t>
    </r>
    <r>
      <rPr>
        <b/>
        <vertAlign val="subscript"/>
        <sz val="10"/>
        <rFont val="Arial"/>
        <family val="2"/>
      </rPr>
      <t>Total</t>
    </r>
    <r>
      <rPr>
        <sz val="10"/>
        <rFont val="Arial"/>
        <family val="2"/>
      </rPr>
      <t xml:space="preserve"> (CO2 equ. / m² BZF)</t>
    </r>
  </si>
  <si>
    <t>GWP Total Min. CO2 equ. / m² BZF</t>
  </si>
  <si>
    <r>
      <t xml:space="preserve">Punkte GWP </t>
    </r>
    <r>
      <rPr>
        <sz val="12"/>
        <rFont val="Arial"/>
        <family val="2"/>
      </rPr>
      <t xml:space="preserve">(max. 55 Punkte) </t>
    </r>
  </si>
  <si>
    <r>
      <rPr>
        <b/>
        <sz val="10"/>
        <rFont val="Arial"/>
        <family val="2"/>
      </rPr>
      <t xml:space="preserve">Entsorgungsindikator EI10 </t>
    </r>
    <r>
      <rPr>
        <sz val="10"/>
        <rFont val="Arial"/>
        <family val="2"/>
      </rPr>
      <t>(Berechnung mit Eco2soft, Bilanzgrenze BG3)</t>
    </r>
  </si>
  <si>
    <r>
      <t xml:space="preserve">Punkte EI10 </t>
    </r>
    <r>
      <rPr>
        <sz val="12"/>
        <rFont val="Arial"/>
        <family val="2"/>
      </rPr>
      <t>(max. 55 Punkte)</t>
    </r>
  </si>
  <si>
    <r>
      <t xml:space="preserve">Punkte EI10 </t>
    </r>
    <r>
      <rPr>
        <sz val="12"/>
        <rFont val="Arial"/>
        <family val="2"/>
      </rPr>
      <t>(max. 75 Punkte)</t>
    </r>
  </si>
  <si>
    <r>
      <t xml:space="preserve">Punkte EI10 </t>
    </r>
    <r>
      <rPr>
        <sz val="12"/>
        <rFont val="Arial"/>
        <family val="2"/>
      </rPr>
      <t>(max. 120 Punkte)</t>
    </r>
  </si>
  <si>
    <r>
      <t xml:space="preserve">Punkte EI10 </t>
    </r>
    <r>
      <rPr>
        <sz val="12"/>
        <rFont val="Arial"/>
        <family val="2"/>
      </rPr>
      <t>(max. 130 Punkte)</t>
    </r>
  </si>
  <si>
    <t>* Nähere Ausführungen zu den maximal zulässigen Übertemperaturgradstunden in den Erläuterungen zum LNB 
  Die Bezugstemperatur beträgt je nach Region zwischen 25 und 27 °C
  Bei einer Nutzungszeit von 2860 h/a dürfen maximal 450 Kh/a (Übertemperaturgradstunden) vorliegen. Wird dieser Wert überschritten, ist das Kriterium nicht erfüllt.
  Eine Berechnungshilfe zur Bestimmung der maximal zulässigen Übertemperaturgradstunden befindet sich rechts auf diesem Tabellenblatt.</t>
  </si>
  <si>
    <r>
      <t xml:space="preserve">Punkte GWP </t>
    </r>
    <r>
      <rPr>
        <sz val="12"/>
        <rFont val="Arial"/>
        <family val="2"/>
      </rPr>
      <t xml:space="preserve">(max. 65 Punkte) </t>
    </r>
  </si>
  <si>
    <r>
      <t xml:space="preserve">Punkte OI3 </t>
    </r>
    <r>
      <rPr>
        <sz val="12"/>
        <rFont val="Arial"/>
        <family val="2"/>
      </rPr>
      <t>(max. 120 Punkte)</t>
    </r>
  </si>
  <si>
    <r>
      <t xml:space="preserve">Punkte GWP </t>
    </r>
    <r>
      <rPr>
        <sz val="12"/>
        <rFont val="Arial"/>
        <family val="2"/>
      </rPr>
      <t xml:space="preserve">(max. 85 Punkte) </t>
    </r>
  </si>
  <si>
    <r>
      <t xml:space="preserve">Punkte OI3 </t>
    </r>
    <r>
      <rPr>
        <sz val="12"/>
        <rFont val="Arial"/>
        <family val="2"/>
      </rPr>
      <t>(max. 155 Punkte)</t>
    </r>
  </si>
  <si>
    <r>
      <t xml:space="preserve">Punkte GWP </t>
    </r>
    <r>
      <rPr>
        <sz val="12"/>
        <rFont val="Arial"/>
        <family val="2"/>
      </rPr>
      <t xml:space="preserve">(max. 95 Punkte) </t>
    </r>
  </si>
  <si>
    <t>Nutzenergiebedarf Heizung Qh,b</t>
  </si>
  <si>
    <t>Nutzenergiebedarf Kühlung Qc,b</t>
  </si>
  <si>
    <t>Emissionen CO2-Äquivalente</t>
  </si>
  <si>
    <t>Anforderungsniveau QNG PREMIUM</t>
  </si>
  <si>
    <t>Anforderungsniveau QNG PLUS</t>
  </si>
  <si>
    <t>Zertifizierungsfähigkeit: alle Mindestanf. erfüllt und mind. 750 Punkte erreicht</t>
  </si>
  <si>
    <t>Erreichte Punktezahl</t>
  </si>
  <si>
    <t>Max. Punktezahl</t>
  </si>
  <si>
    <t>Mindestanf. nicht erfüllt!</t>
  </si>
  <si>
    <t>Nur Komplettsanierung</t>
  </si>
  <si>
    <t>N/A</t>
  </si>
  <si>
    <t>17 - Bestandsanalyse</t>
  </si>
  <si>
    <t>Anforderungen:
MA: Zielwerte zu vorauss. HWB &amp; PEB 
SW: Zielwerte zu 10 Kenngrößen
ZW: Zielwerte zu allen Kenngrößen</t>
  </si>
  <si>
    <t>16 - Qualität der Projektvorbereitung</t>
  </si>
  <si>
    <t>Block Prozesskriterien</t>
  </si>
  <si>
    <t>Ergebnisfeld</t>
  </si>
  <si>
    <t>Mindestan-forderung</t>
  </si>
  <si>
    <t>Nur Nichtwohngebäude</t>
  </si>
  <si>
    <t>19 - Naturgefahren am Standort</t>
  </si>
  <si>
    <t>Nur Wohnbau</t>
  </si>
  <si>
    <t>13 - Schallschutz</t>
  </si>
  <si>
    <t>Anforderungen:
MA: Sollwert
SW: Fenster in Aufenthaltsräumen, Glasfläche 10% NGF
ZW: zusätzl. Tageslichtsimulation für 2 krit. &amp; 2 typ. Räume</t>
  </si>
  <si>
    <t>12 - Visueller Komfort</t>
  </si>
  <si>
    <t>NR im LNB</t>
  </si>
  <si>
    <t>Anforderungen:
MA: Einhaltung DIN 4108-2: 2013-02 Abschnitt 8
SW: Dyn. Gebäudesimulation für mind. 3 krit. Räume
ZW: Dyn. Gebäudesim. mit 20% Unterschreitung d. ÜTGS</t>
  </si>
  <si>
    <t>11 - Thermischer Komfort</t>
  </si>
  <si>
    <t>Anforderungswerte:
MA: VOC und Formaldehyd flächengewichtet in Klasse IV oder besser
SW: VOC und Formaldehyd flächengewichtet in Klasse II oder besser (kein Einzelwert schlechter als Klasse III)
ZW: VOC und Formaldehyd flächengewichtet in Klasse I (kein Einzelwert schlechter als Klasse III)</t>
  </si>
  <si>
    <t>10 - Erfüllung von Nutzeranforderungen inkl. Qualitätskontrolle der Bauausführung</t>
  </si>
  <si>
    <t>07 - Barrierefreiheit</t>
  </si>
  <si>
    <t>Anforderungen:
MA: Sollwert
SW: vertragl. Verpflichtung von Qualitätsanforderungen
ZW: zusätzl. Führen von Produktdeklarationslisten</t>
  </si>
  <si>
    <t>06 - Schadstoffvermeidung in Baumaterialien</t>
  </si>
  <si>
    <t>Block Sozio-kulturelle Dimension</t>
  </si>
  <si>
    <t>Anforderungswerte Anzahl Berechnungen Lebenszykluskosten</t>
  </si>
  <si>
    <t>15 - Lebenszykluskosten</t>
  </si>
  <si>
    <t>BGF (m²)</t>
  </si>
  <si>
    <t>NUF nach DIN277 (m²)</t>
  </si>
  <si>
    <t>NR: NUF nach DIN 277, BGF</t>
  </si>
  <si>
    <t>Anforderungswerte NUF / BGF</t>
  </si>
  <si>
    <t>09 - Flächeneffizienz</t>
  </si>
  <si>
    <t>Anforderungen:
MA: Konzept f. Betrieb und Wartung d. techn. Anlagen
SW: zusätzl. Differenzierte Verbrauchserfassung
ZW: zusätzl. Kommentierung der Gebäudetechnik</t>
  </si>
  <si>
    <t>08 - Schaffung von Voraussetzungen für Bewirtschaftung</t>
  </si>
  <si>
    <t>03 - Flexibilität und Anpassungsfähigkeit</t>
  </si>
  <si>
    <t>Ergebnis Primärenergie (kWh / m²a)</t>
  </si>
  <si>
    <t>Anforderungswerte Primärenergie (kWh / m²a) QNG Premium</t>
  </si>
  <si>
    <t>Anforderungswerte Primärenergie (kWh / m²a) QNG Plus</t>
  </si>
  <si>
    <t>02 - LCA – Primärenergie</t>
  </si>
  <si>
    <t>Block Ökonomie</t>
  </si>
  <si>
    <t xml:space="preserve">NR: Dachflächen gesamt &lt;=10 Grad; </t>
  </si>
  <si>
    <t>20 - Gründach</t>
  </si>
  <si>
    <t>18 - Rückbaumaßnahmen</t>
  </si>
  <si>
    <t>Masse Erdbaustoffe/Substrate aus güteüberwachtem RC-Material (t)</t>
  </si>
  <si>
    <t>Masse RC-Beton mit erheblichem RC-Anteil nach DIN 12620 (t)</t>
  </si>
  <si>
    <t>Gesamtmasse Erdbaustoffe&amp;Substrate (t)</t>
  </si>
  <si>
    <t>Gesamtmasse Beton nach geltenden Regeln d. technik als RC-Beton ausführbar (t)</t>
  </si>
  <si>
    <t>NR: Gesamtmasse Beton nach geltenden Regeln d. technik als RC-Beton ausführbar, Gesamtmasse Erdbaustoffe&amp;Substrate; Masse RC-Beton mit erheblichem RC-Anteil nach DIN 12620; Masse Erdbaustoffe/Substrate aus güteüberwachtem RC-Material</t>
  </si>
  <si>
    <t>Anforderungswerte Recyclinganteil mineralische Baustoffe (%)</t>
  </si>
  <si>
    <t>Prozentanteile Holzvolumen aus nachhaltiger Forstwirtschaft bei Holz aus nicht 100% nachhaltiger Forstwirtschaft, z.B. 70% bei "FSC Mix"</t>
  </si>
  <si>
    <r>
      <t xml:space="preserve">Holzvolumen </t>
    </r>
    <r>
      <rPr>
        <b/>
        <sz val="12"/>
        <rFont val="Arial"/>
        <family val="2"/>
      </rPr>
      <t>nicht</t>
    </r>
    <r>
      <rPr>
        <sz val="12"/>
        <rFont val="Arial"/>
        <family val="2"/>
      </rPr>
      <t xml:space="preserve"> aus 100% nachh. Forstwirtschaft, z.B. Label "FSC Mix" (m³)</t>
    </r>
  </si>
  <si>
    <t>Holzvolumen 100% nachh. Forstwirtschaft (FSC/PEFC) (m³)</t>
  </si>
  <si>
    <t>Gesamtvolumen eingesetztes Holz (m³)</t>
  </si>
  <si>
    <t>NR; Gesamtvolumen eingesetztes Holz; Holzvolumen 100% nachh. FW; Holzvolumen 70% (FSC Mix)</t>
  </si>
  <si>
    <t>Anforderungswerte Holz aus nachhaltiger Forstwirtschaft (%)</t>
  </si>
  <si>
    <t>14 - Nachhaltige Materialgewinnung</t>
  </si>
  <si>
    <t>Nicht erreicht</t>
  </si>
  <si>
    <t>Anforderungswerte EI10 (BG1)</t>
  </si>
  <si>
    <t>Erreicht</t>
  </si>
  <si>
    <t>05 - Rückbau- und Recyclingfreundlichkeit</t>
  </si>
  <si>
    <t>Anforderungen:
MA: Wassernutzungskonzept mit Wasserbedarfsermittlung
SW: Einbau Regenwasserzisterne WC ODER Bewässerung
ZW: Einbau Regenwasserzisterne WC UND Bewässerung</t>
  </si>
  <si>
    <t>04 - Trinkwasserbedarf in der Nutzungsphase</t>
  </si>
  <si>
    <t>Ergebnis CO2-Äquivalente (CO2 equ. / m² BZF)</t>
  </si>
  <si>
    <r>
      <t>Anforderungswerte CO</t>
    </r>
    <r>
      <rPr>
        <vertAlign val="subscript"/>
        <sz val="12"/>
        <rFont val="Arial"/>
        <family val="2"/>
      </rPr>
      <t>2</t>
    </r>
    <r>
      <rPr>
        <sz val="12"/>
        <rFont val="Arial"/>
        <family val="2"/>
      </rPr>
      <t>-Äquivalente (CO</t>
    </r>
    <r>
      <rPr>
        <vertAlign val="subscript"/>
        <sz val="12"/>
        <rFont val="Arial"/>
        <family val="2"/>
      </rPr>
      <t>2</t>
    </r>
    <r>
      <rPr>
        <sz val="12"/>
        <rFont val="Arial"/>
        <family val="2"/>
      </rPr>
      <t xml:space="preserve"> equ. / m² BZF) QNG Premium</t>
    </r>
  </si>
  <si>
    <r>
      <t>Anforderungswerte CO</t>
    </r>
    <r>
      <rPr>
        <vertAlign val="subscript"/>
        <sz val="12"/>
        <rFont val="Arial"/>
        <family val="2"/>
      </rPr>
      <t>2</t>
    </r>
    <r>
      <rPr>
        <sz val="12"/>
        <rFont val="Arial"/>
        <family val="2"/>
      </rPr>
      <t>-Äquivalente (CO</t>
    </r>
    <r>
      <rPr>
        <vertAlign val="subscript"/>
        <sz val="12"/>
        <rFont val="Arial"/>
        <family val="2"/>
      </rPr>
      <t>2</t>
    </r>
    <r>
      <rPr>
        <sz val="12"/>
        <rFont val="Arial"/>
        <family val="2"/>
      </rPr>
      <t xml:space="preserve"> equ. / m² BZF) QNG Plus</t>
    </r>
  </si>
  <si>
    <t>02 - LCA – CO2-Äquivalente</t>
  </si>
  <si>
    <t>Mindest-anforderung</t>
  </si>
  <si>
    <t>Anforderungswerte unversiegelte Außenfläche (%)</t>
  </si>
  <si>
    <t>01 - Flächeninanspruchnahme</t>
  </si>
  <si>
    <t>zertifizierbar</t>
  </si>
  <si>
    <t>nicht zertifizierbar</t>
  </si>
  <si>
    <t>Block Ökologie</t>
  </si>
  <si>
    <t>Anmerkungen Konformitätsbewertungsstellen</t>
  </si>
  <si>
    <t>Anmerkungen LNB Expert:in</t>
  </si>
  <si>
    <t>LNG_QNG Kriterium ohne besondere QNG-Anforderungen</t>
  </si>
  <si>
    <t>Schwarze Schrift</t>
  </si>
  <si>
    <t>QNG-WG23-N</t>
  </si>
  <si>
    <t>LNG_QNG Kriterium mit besonderen QNG-Anforderungen</t>
  </si>
  <si>
    <t>Rote Schrift</t>
  </si>
  <si>
    <t>Siegelvariante</t>
  </si>
  <si>
    <t>QNG-WG23-K</t>
  </si>
  <si>
    <t>Eingabefelder/Hinweisfelder bei Kriterien, die die Mindestanforderung nicht erfüllen</t>
  </si>
  <si>
    <t>QNG Premium</t>
  </si>
  <si>
    <t>QNG Plus</t>
  </si>
  <si>
    <t>mind. MA</t>
  </si>
  <si>
    <t>Komplettmodernisierung</t>
  </si>
  <si>
    <t>Maßnahmenart</t>
  </si>
  <si>
    <t>Wohngebäude</t>
  </si>
  <si>
    <t>QNG-NW23-K</t>
  </si>
  <si>
    <t>Eingabefelder für LNB Expert:innen und Konformitätsbewertungsstellen</t>
  </si>
  <si>
    <t>Nichtwohngebäude</t>
  </si>
  <si>
    <t>Gebäudeart</t>
  </si>
  <si>
    <t>Neubau</t>
  </si>
  <si>
    <t>QNG-NW23-N</t>
  </si>
  <si>
    <t>fakultative Eingabefelder für LNB Expert:innen und Konformitätsbewertungsstellen</t>
  </si>
  <si>
    <t>Projektbezeichnung</t>
  </si>
  <si>
    <t>Legende</t>
  </si>
  <si>
    <r>
      <rPr>
        <b/>
        <sz val="10"/>
        <color theme="1"/>
        <rFont val="Arial"/>
        <family val="2"/>
      </rPr>
      <t>Abkürzungen</t>
    </r>
    <r>
      <rPr>
        <sz val="10"/>
        <color theme="1"/>
        <rFont val="Arial"/>
        <family val="2"/>
      </rPr>
      <t xml:space="preserve">
MA: Mindestanforderung
SW: Sollwert
ZW: Zielwert
m³: Kubikmeter
t: Tonnen
N/A: nicht anwendbar</t>
    </r>
  </si>
  <si>
    <r>
      <rPr>
        <b/>
        <sz val="10"/>
        <color theme="1"/>
        <rFont val="Arial"/>
        <family val="2"/>
      </rPr>
      <t>Punktevergabe LNB_QNG</t>
    </r>
    <r>
      <rPr>
        <sz val="10"/>
        <color theme="1"/>
        <rFont val="Arial"/>
        <family val="2"/>
      </rPr>
      <t xml:space="preserve">
Diese Excel Tabelle ist ein Hilfsmittel für die Ermittlung der Punktevergabe für die Kriterien des LNB QNG. </t>
    </r>
    <r>
      <rPr>
        <b/>
        <sz val="10"/>
        <color theme="1"/>
        <rFont val="Arial"/>
        <family val="2"/>
      </rPr>
      <t xml:space="preserve">Die Prüfvorschriften mit Angabe der Relevanz, Zielsetzung, Kurzbeschreibung, Messvorschriften, Bewertungsmaßstäbe und Nachweisführung sind für jedes Kriterium eindeutig formuliert und dem LNB_QNG Kriterienkatalog zu entnehmen. </t>
    </r>
    <r>
      <rPr>
        <sz val="10"/>
        <color theme="1"/>
        <rFont val="Arial"/>
        <family val="2"/>
      </rPr>
      <t xml:space="preserve">Die Mindestanforderungen sind bei jedem Kriterium verpflichtend einzuhalten, werden jedoch nicht bepunktet. Bei Einhaltung der Anforderungen des Sollwerts pro Kriterium werden die Hälfte der Punkte für das jeweilige Kriterium vergeben. Bei Einhaltung der Anforderungen des Zielwerts pro Kriterium wird die volle Punktezahl für das jeweilige Kriterium vergeben. Ein LNB_QNG-Zertifikat wird vergeben, wenn mindestens 750 Punkte (ggf. bei mehreren Gebäudeabschnitten/Gebäudekörpern das nach BRI gewichtete Mittel) erreicht werden. Um ein LNB_QNG-Zertifikat ausstellen zu können, müssen die Mindestanforderungen zu allen Kriterien eingehalten werden. Es sind die erreichten Anforderungsniveaus oder ermittelte Werte einzugeben. </t>
    </r>
    <r>
      <rPr>
        <b/>
        <sz val="10"/>
        <color theme="1"/>
        <rFont val="Arial"/>
        <family val="2"/>
      </rPr>
      <t>Die Anforderungen der LNB_QNG Kriterien sind in der jeweiligen Überschrift zu den LNB_QNG Erläuterungen verlinkt.</t>
    </r>
    <r>
      <rPr>
        <sz val="10"/>
        <color theme="1"/>
        <rFont val="Arial"/>
        <family val="2"/>
      </rPr>
      <t xml:space="preserve"> Nachweise für die jeweiligen Kriterien sind separat zu führen und an die Konformitätsbewertungsstellen zeitgerecht zu übermitteln. Falls Ergebnisse zu bestimmten Kriterien nicht direkt im Ergebnisfeld des jeweiligen Kriteriums einzugeben sind, bitte den zusätzlichen Reiter Nebenrechnungen beachten.
Die Zertifizierungsentscheidung und die Ausstellung des LNB_QNG Zertifikats erfolgt durch eine akkreditierte LNB_QNG-Konformitätsbewertungsstelle gemäß dem LNB_QNG Zertifizierungsprogramm.</t>
    </r>
  </si>
  <si>
    <t>Volumen realisierte Zisterne (l)</t>
  </si>
  <si>
    <t>Wassermenge nach angeschlossener Dachfläche (l)</t>
  </si>
  <si>
    <t>Wassermenge WC- und Urinalspülungen (l)</t>
  </si>
  <si>
    <t>Anschluss von mind. 80% der WC- und Urinalspülungen</t>
  </si>
  <si>
    <t>Wassermenge zu bewässernde Außenanlagen (l)</t>
  </si>
  <si>
    <t>Fläche der zu bewässernden Außenanlagen (m²)</t>
  </si>
  <si>
    <t>Anschluss Außenanlagenbewässerung</t>
  </si>
  <si>
    <t>Nein</t>
  </si>
  <si>
    <t>Wassernutzungskonzept vorhanden</t>
  </si>
  <si>
    <t>Ja</t>
  </si>
  <si>
    <t>5.</t>
  </si>
  <si>
    <t>MINDEST-ANFORDERUNG</t>
  </si>
  <si>
    <t>Anteil Gründach an Gesamtdachfläche</t>
  </si>
  <si>
    <t>Summe Dachfläche(n) begrünt 
(Dachneigung ≤10°)</t>
  </si>
  <si>
    <t>Rechenfelder/Verlinkte Felder</t>
  </si>
  <si>
    <t>Anforderungswerte Gründach (% d. Gründachpotenzials)</t>
  </si>
  <si>
    <t>Kriterium 20</t>
  </si>
  <si>
    <t>Anforderungen:
MA &amp; SW: Zielwert
ZW: Analyse &amp; Bewertung der Gefährdung des Gebäudes</t>
  </si>
  <si>
    <t>Kriterium 19</t>
  </si>
  <si>
    <t>Ökolog.</t>
  </si>
  <si>
    <t>diskutieren</t>
  </si>
  <si>
    <t xml:space="preserve">offen </t>
  </si>
  <si>
    <t>x</t>
  </si>
  <si>
    <t>Soz.</t>
  </si>
  <si>
    <t>inhaltlich ok</t>
  </si>
  <si>
    <t>Anforderungen:
MA: Sollwert
SW: Rückbaukonzept
ZW: zusätzl. Entsorgungsnachweise &amp; Dokumentation</t>
  </si>
  <si>
    <t>Kriterium 18</t>
  </si>
  <si>
    <t>diskutieren, von Siegi prüfen lassen, gesetzliche Anforderungen prüfen; MG schickt die Unterlagen an SL</t>
  </si>
  <si>
    <t>Prozess</t>
  </si>
  <si>
    <t>in Ausarbeitung</t>
  </si>
  <si>
    <t>Anforderungen:
MA: Sollwert
SW: Erhebung Energieverbrauch im Bestand, Bestandsbauteile &amp; Schwachstellenanalyse
ZW: zusätzl. Erfassung Gebäudetechnik &amp; Schadstofferkundung</t>
  </si>
  <si>
    <t>Kriterium 17</t>
  </si>
  <si>
    <t>gemeinsam mit Kriterium 10 abgebildet</t>
  </si>
  <si>
    <t>ist im Kriterium 10 enthalten</t>
  </si>
  <si>
    <t>MG/CT: Raumluftmessung Mindestanforderung; 4 Stufen bei Innenraumluft</t>
  </si>
  <si>
    <t>SE: Block A; LNB übernehmen Bedarfsplanung, Information der Öffentlichkeit, Erstellung eines Pflichtenhefts; Einbeziehung Behörden, Martkerhebung - Architekturwettbewerb als hoher Standard - DGNB vergleichen</t>
  </si>
  <si>
    <t xml:space="preserve">Anforderungen:
MA: Sollwert
SW: Einhaltung DIN 4109-1:2018-01, Tabelle 2
ZW: Überschreitung Luftschall 3dB &amp; Unterschreitung Tritt-schallschutz um 5dB der DIN 4109-1:2018-01, Tabelle 2 </t>
  </si>
  <si>
    <t>Kriterium 13</t>
  </si>
  <si>
    <t>Ökonom.</t>
  </si>
  <si>
    <t>MB:VDI 2067, mind. 1 Berechnung; Bonus: 3</t>
  </si>
  <si>
    <t>Formatierung offfen</t>
  </si>
  <si>
    <t>inhaltlich ok - event. schwierig: Recyclingquoten, Begriffsdefinitionen nachfragen</t>
  </si>
  <si>
    <t>MG: in PD ergänzen: 50% bzw. 80% Hölzer aus nachhaltiger Forstwirtschaft; wie kann pragmatisch der Holztanteil ermittelt werden? aus OI-Index verbaute Materialien entnehmen? Länderliste mit PEFC</t>
  </si>
  <si>
    <t>14 - Nachhaltige Beschaffung</t>
  </si>
  <si>
    <t>Anforderungen Wohngebäude:
MA: Sollwert
SW: für 80% der Wohneinheiten 7 von 8 Anf. "ready besuchsgeeignet" erfüllt
ZW: für alle Wohneinheiten 7 von 8 Anf. "ready plus" erfüllt</t>
  </si>
  <si>
    <t>CT</t>
  </si>
  <si>
    <t>Anforderungen Nichtwohngebäude
MA: Sollwert
SW: 10% d. Arbeitsstätten barrierefrei
ZW: 25% d. Arbeitsstätten barrierefrei</t>
  </si>
  <si>
    <t>CT-typischer und kritische Raum beschreiben</t>
  </si>
  <si>
    <t>Kriterium 7</t>
  </si>
  <si>
    <t>MB/CT</t>
  </si>
  <si>
    <t>SE/DL: Fahrradabstellfächen/ Trockenräume etc.</t>
  </si>
  <si>
    <r>
      <t xml:space="preserve">Anforderungen Wohngebäude:
MA: lichte Raumhöhe 2,40 m
SW: lichte Raumhöhe 2,50 m
ZW (zusätzl. zur Anf. SW): Wohnräume </t>
    </r>
    <r>
      <rPr>
        <sz val="12"/>
        <rFont val="Aptos Narrow"/>
        <family val="2"/>
      </rPr>
      <t>≥</t>
    </r>
    <r>
      <rPr>
        <sz val="12"/>
        <rFont val="Arial"/>
        <family val="2"/>
      </rPr>
      <t xml:space="preserve"> 12 m² mit ≥ 3 m lichte Breite AW</t>
    </r>
  </si>
  <si>
    <t>SE: Bezug Nutzfläche zu BGF</t>
  </si>
  <si>
    <t>Anforderungen Nichtwohngebäude:
MA: lichte Raumhöhe 3,00 m (bzw. 2,80 m bei mech. LA)
SW: zusätzl. Teilbarkeit in Einheiten &lt; 400 m²
ZW: zusätzl. Nutzlastreserven</t>
  </si>
  <si>
    <t>MB: differnzierte Verbrauchserfassung</t>
  </si>
  <si>
    <t>Kriterium 3</t>
  </si>
  <si>
    <t>offen - SE</t>
  </si>
  <si>
    <t>SE: ergänzt Ready Mindeststandard</t>
  </si>
  <si>
    <t>Rückmeldung Anerkennung ÖkoBauKriterien bei BBSR offen</t>
  </si>
  <si>
    <t>Abstimmung Mathias offen</t>
  </si>
  <si>
    <t>Prüfund Konformität mit Anlage 3 offen - Aufgabe für Mathias Winder</t>
  </si>
  <si>
    <t>CT: konform mit Anhang 313?</t>
  </si>
  <si>
    <t>Rückmeldung CT (Gundi)</t>
  </si>
  <si>
    <t>kommt bis 20.5. von Gundi</t>
  </si>
  <si>
    <t>MG: in Ökobilanz enthalten zusätzlich EI 10</t>
  </si>
  <si>
    <t>Überarbeitung offen - SE</t>
  </si>
  <si>
    <t>SE: Umsetzung, event. wassersparende Armaturen ergänzen</t>
  </si>
  <si>
    <t>inhaltlich ok - Zusammenhang zu Flächeneffizienz? MW prüft Zusammenführung mit Kriterium 9</t>
  </si>
  <si>
    <t>SE: Raumtiefe, Raumhöhe, etc</t>
  </si>
  <si>
    <t>MG  prüft LCA Teil mit MB</t>
  </si>
  <si>
    <t>DL Zusammenführung prüfen, Tendenz 2 Kriterien und diese zusammenführen; MB Variante beibehalten; EH-Haus 50; Ergebnis mit MG abstimmen</t>
  </si>
  <si>
    <t>Block B inhaltlich ok, Materialisierung kommt von Gundi bis 20.5.</t>
  </si>
  <si>
    <t>CT/ MG: Anhang beachten - Zielwerte, siehe Anlage 3
MB: Energie und Versorgung (Abstimmung mit Maucher)</t>
  </si>
  <si>
    <t>02b - Energie und Versorgung – CO2-Äquivalente</t>
  </si>
  <si>
    <t>02a - Energie und Versorgung– Primärenergie</t>
  </si>
  <si>
    <t>2a</t>
  </si>
  <si>
    <t>Kriterien QNG</t>
  </si>
  <si>
    <t>SE: Definition Flächen; Bezugsfläche eindeutig definieren</t>
  </si>
  <si>
    <t>Kriterien-Nummer</t>
  </si>
  <si>
    <t>Kriterienzuordnung</t>
  </si>
  <si>
    <t>Punkte berechnet NW-K</t>
  </si>
  <si>
    <t>Punkte berechnet NW-N</t>
  </si>
  <si>
    <t>Punkte berechnet WG-K</t>
  </si>
  <si>
    <t>Punkte berechnet WG-N</t>
  </si>
  <si>
    <t>Kommentierung Bepunktung</t>
  </si>
  <si>
    <t>Bepunktung Zielwerte - Stand 29.6.22  (Sollwert immer 0 Punkte)</t>
  </si>
  <si>
    <t>Status 21.6.</t>
  </si>
  <si>
    <t>Status 7.6.22</t>
  </si>
  <si>
    <t>Status 18.5.22</t>
  </si>
  <si>
    <t>Ergebnis 12.4.22</t>
  </si>
  <si>
    <t>Bearbeitung -Abstimmung 16.3.22</t>
  </si>
  <si>
    <t>Kriterium LNB 2022</t>
  </si>
  <si>
    <t>Erfüllungsgrad</t>
  </si>
  <si>
    <t>entsprechendes Angebot LNB</t>
  </si>
  <si>
    <t>Zuordnung NiwoG</t>
  </si>
  <si>
    <t>Zuordnung WG</t>
  </si>
  <si>
    <t>Punkteschlüssel und Zuordnung zu Kriterienblöcken</t>
  </si>
  <si>
    <t>Kontrolle</t>
  </si>
  <si>
    <t>155 auf 250</t>
  </si>
  <si>
    <t>145 auf 230</t>
  </si>
  <si>
    <t xml:space="preserve">A 3. Produktmanagement </t>
  </si>
  <si>
    <t>A 3.1 Bauökologie in Planung, Ausschreibung und Ausführung</t>
  </si>
  <si>
    <t>Punkte (gesamt max. 90)</t>
  </si>
  <si>
    <t xml:space="preserve">Ökologische Bauteiloptimierung </t>
  </si>
  <si>
    <t>Durchführung einer ökologischen Bauteilkommentierung vor dem Bauantrag.</t>
  </si>
  <si>
    <t>Verankerung ökologischer Kriterien in Ausschreibung und Bauausführung</t>
  </si>
  <si>
    <r>
      <t xml:space="preserve">Ökobaukriterien </t>
    </r>
    <r>
      <rPr>
        <b/>
        <u/>
        <sz val="10"/>
        <rFont val="Arial"/>
        <family val="2"/>
      </rPr>
      <t>mit</t>
    </r>
    <r>
      <rPr>
        <b/>
        <sz val="10"/>
        <rFont val="Arial"/>
        <family val="2"/>
      </rPr>
      <t xml:space="preserve"> PD</t>
    </r>
  </si>
  <si>
    <r>
      <t xml:space="preserve">QNG </t>
    </r>
    <r>
      <rPr>
        <b/>
        <u/>
        <sz val="10"/>
        <rFont val="Arial"/>
        <family val="2"/>
      </rPr>
      <t>mit</t>
    </r>
    <r>
      <rPr>
        <b/>
        <sz val="10"/>
        <rFont val="Arial"/>
        <family val="2"/>
      </rPr>
      <t xml:space="preserve"> PD</t>
    </r>
  </si>
  <si>
    <r>
      <t xml:space="preserve">QNG </t>
    </r>
    <r>
      <rPr>
        <b/>
        <u/>
        <sz val="10"/>
        <rFont val="Arial"/>
        <family val="2"/>
      </rPr>
      <t>ohne</t>
    </r>
    <r>
      <rPr>
        <b/>
        <sz val="10"/>
        <rFont val="Arial"/>
        <family val="2"/>
      </rPr>
      <t xml:space="preserve"> PD</t>
    </r>
  </si>
  <si>
    <t>Für alle relevanten Gewerke, die mit ökologischen Kriterien ausgeschrieben wurden, wurden die eingesetzten Bauprodukte in PD-Listen deklariert. Alle in den PD-Listen angeführten Bauprodukte wurden auf Konformität zu den laut Ausschreibung einzuhaltenden ökologischen Kriterien überprüft (Konformitätsprüfung). Für jedes relevante Gewerk, für welches keine PD-Liste vorliegt, werden 10 Punkte abgezogen.</t>
  </si>
  <si>
    <t>max. 70</t>
  </si>
  <si>
    <t>max. 45</t>
  </si>
  <si>
    <t xml:space="preserve">Wenn keine Produktdeklaration mit Konformitätsprüfung beauftragt wird, dann ist die Einhaltung der ökologischen Kriterien durch die beauftragten ausführenden Unternehmen nach der Bauausführung schriftlich zu bestätigen.
Die Qualitätssicherung der Produktdeklaration mit Konformitätsprüfung inkludiert wiederholte Baustellenbegehungen durch den Konformitätsprüfer während der Bauphase.
</t>
  </si>
  <si>
    <r>
      <t xml:space="preserve">Ökologische Fachbauaufsicht </t>
    </r>
    <r>
      <rPr>
        <sz val="12"/>
        <rFont val="Arial"/>
        <family val="2"/>
      </rPr>
      <t>(Punktevergabe nur möglich, wenn eine Produktdeklaration durchgeführt wurde)</t>
    </r>
  </si>
  <si>
    <t>A 3.2 Vermeidung kritischer Soffe und Förderung regionaler Holzwirtschaft</t>
  </si>
  <si>
    <t>Punkte (gesamt max. 73)</t>
  </si>
  <si>
    <t>Vermeidung von PVC und halogenhaltige Kunststoffe</t>
  </si>
  <si>
    <t>PVC-freie Folien, Fußbodenbeläge, Wandbeläge, Wasserrohre</t>
  </si>
  <si>
    <t xml:space="preserve">Fußbodenbeläge und deren Bestandteile (inkl. Sockelleisten), Wandbekleidungen (Tapeten) </t>
  </si>
  <si>
    <t>Wasser-, Abwasser- sowie Zu- und Abluftrohre im Projekt 
(bis Kanalschluss)</t>
  </si>
  <si>
    <t>PVC-freie und halogenfreie Elektroinstallationen</t>
  </si>
  <si>
    <t>Kabel, Leitungen, Rohre, Dose, etc. (sofern für den Anwendungsfall PVC-frei verfügbar)</t>
  </si>
  <si>
    <t>≥ 95% der Kabellängen aller Elektroinstallationsmaterialien PVC frei und halogenfrei ausgeführt</t>
  </si>
  <si>
    <t>PVC-freie Fenster und Sonnen-/Sichtschutz</t>
  </si>
  <si>
    <t>alle vertikalen Fenster, Türen, Tore</t>
  </si>
  <si>
    <t>alle Sonnen- und /oder Sichtschutz</t>
  </si>
  <si>
    <t>Kupfer- und Zinkprodukte im bewitterten Außenbereich (Fassade, Dach, Dacheindeckungen, Regenrinnen, Fallrohre, Kamine, Dachabdichtungen, Fassadenelemente, Verkleidungen) werden vermieden.</t>
  </si>
  <si>
    <t>Vermeidung nicht zukunftsfähiger Kältemittel</t>
  </si>
  <si>
    <t>Durchgängiger Einsatz von Kältemitteln mit GWP ≤ 150 in allen Wärmepumpen (nur bei Wärmepumpen als Hauptenergieträger für Heizung/Kühlung; keine Punkte bei reinen Kompressorkältemaschinen)</t>
  </si>
  <si>
    <t>Vermeidung biozider Ausrüstung</t>
  </si>
  <si>
    <t>Fassaden</t>
  </si>
  <si>
    <t>Fassadenplatten und -Verkleidungen</t>
  </si>
  <si>
    <t>Spachtelmassen, Putze, Grundierungen, Farben, etc.</t>
  </si>
  <si>
    <t>Dächer inkl. unterbaute Flächen</t>
  </si>
  <si>
    <t>Bitumendichtungsbahnen, -pappen (z.B. Gründach), etc.</t>
  </si>
  <si>
    <r>
      <t xml:space="preserve">Fenster und Außentüren </t>
    </r>
    <r>
      <rPr>
        <sz val="10"/>
        <color rgb="FF000000"/>
        <rFont val="Arial"/>
        <family val="2"/>
      </rPr>
      <t>(ohne Dicht- und Klebstoffe)</t>
    </r>
  </si>
  <si>
    <t>Vermeidung von Bodenbeschichtungen auf Polyurethan- und Epoxidharz-Basis</t>
  </si>
  <si>
    <r>
      <rPr>
        <b/>
        <sz val="10"/>
        <color rgb="FF000000"/>
        <rFont val="Arial"/>
        <family val="2"/>
      </rPr>
      <t>Durchgängiger Verzicht</t>
    </r>
    <r>
      <rPr>
        <sz val="10"/>
        <color indexed="8"/>
        <rFont val="Arial"/>
        <family val="2"/>
      </rPr>
      <t xml:space="preserve"> auf PU-/Epoxidharzbeschichtungen im gesamten Gebäude</t>
    </r>
  </si>
  <si>
    <t>Regionale Holzwirtschaft</t>
  </si>
  <si>
    <t xml:space="preserve">Beim Einsatz von nachweislich regionalem Holz (Nachweis über „Holz-von-Hier“ Zertifikate oder nachweislich Einhaltung aller „Holz-von-Hier“ Kriterien) werden folgende Punkte vergeben. </t>
  </si>
  <si>
    <t xml:space="preserve">Mit HVH Nachweis </t>
  </si>
  <si>
    <r>
      <rPr>
        <b/>
        <sz val="10"/>
        <rFont val="Arial"/>
        <family val="2"/>
      </rPr>
      <t xml:space="preserve">Konstruktiver Holzbau - </t>
    </r>
    <r>
      <rPr>
        <sz val="10"/>
        <rFont val="Arial"/>
        <family val="2"/>
      </rPr>
      <t>Bepunktung nur bei Holz- oder Mischbauten (50 Vol.-% der konstruktiven Bauteile aus Holz)</t>
    </r>
  </si>
  <si>
    <r>
      <t xml:space="preserve">Fassaden </t>
    </r>
    <r>
      <rPr>
        <sz val="10"/>
        <rFont val="Arial"/>
        <family val="2"/>
      </rPr>
      <t>(&gt; 50% der Fassadenfläche)</t>
    </r>
  </si>
  <si>
    <r>
      <rPr>
        <b/>
        <sz val="10"/>
        <rFont val="Arial"/>
        <family val="2"/>
      </rPr>
      <t xml:space="preserve">Fußbodenbelag Massivholz - </t>
    </r>
    <r>
      <rPr>
        <sz val="10"/>
        <rFont val="Arial"/>
        <family val="2"/>
      </rPr>
      <t>Massivparkett, Dielenboden, Mehrschichtparkett mit mind. 6mm Nutzschichtstärke; &gt; 50% der konditionierten Flächen als Vollholzkonstruktion</t>
    </r>
  </si>
  <si>
    <t>A 3.3 Zirkuläres Bauen</t>
  </si>
  <si>
    <t>Punkte (gesamt max. 30)</t>
  </si>
  <si>
    <t>Mindestens 30% des Betonvolumens aller Expositionsklassen werden als RC-Beton ausgeführt; bei diesem Betonvolumen ist der Betonzuschlag mit einem Anteil von mindestens 25 M-% der Gesteinskörnungen aus Recyclingmaterial auszuführen</t>
  </si>
  <si>
    <t>Einsatz von CO₂-armem Zement</t>
  </si>
  <si>
    <t>Verwendung von CO₂-armem Zement als Bindemittel bei mindestens 70 % des technisch umsetzbaren Betonvolumens (CO₂-Emissionen ≤ 0,469 t CO₂-Äq./t Zement)</t>
  </si>
  <si>
    <t>Einsatz bereits verwendeter Bauteile und Bauprodukte</t>
  </si>
  <si>
    <t>Einsatz bereits verwendeter Bauprodukte und Bauteile als tragende Elemente</t>
  </si>
  <si>
    <t>Einsatz bereits verwendeter Bauprodukte und Bauteile als nicht tragende Elemente</t>
  </si>
  <si>
    <t>Gesamtpunkteanzahl Kriterium A 3.</t>
  </si>
  <si>
    <t>Max. 175</t>
  </si>
  <si>
    <t>A 4. Naturnahes Bauen und Klimafolgenanpassung</t>
  </si>
  <si>
    <t>Fachberatung für naturnahe und naturverträgliche Gebäude- und Außengestaltung durch eine nicht mit der Freiraumplanung beauftragte Person</t>
  </si>
  <si>
    <t xml:space="preserve">Naturnahe Außenanlageflächen, naturnahe Dachbegrünung und Artenschutz </t>
  </si>
  <si>
    <t>Naturnahe Außenanlageflächen</t>
  </si>
  <si>
    <t>Pflanzung oder Erhalt von mind. 2 heimischen (mind. 50 % der gesetzten Bäume) bzw. europäischen (max. 50 % der gesetzten Bäume) Bäumen. Keine invasiven Neophyten und keine außereuropäische Art.</t>
  </si>
  <si>
    <t>Gehölzinsel oder Wildhecke mit natürlichem Unterwuchs (&gt; 3 m breit, &gt; 5 m lang)</t>
  </si>
  <si>
    <t>Schaffung oder den Erhalt von heimischen Sträuchern in ihrer Wildform ≥ 3 verschiedenen Sträuchern</t>
  </si>
  <si>
    <t>Artenreiche Wiese, mehrjährige Blühfläche ≥ 25 % der Außenfläche, Einzelfläche ≥ 10 m²</t>
  </si>
  <si>
    <t>Artenreiche Wiese, mehrjährige Blühfläche ≥ 10 % der Außenfläche, Einzelfläche ≥ 10 m²</t>
  </si>
  <si>
    <t>Umsetzung mindestens eines der Elemente: Trockensteinmauer (Länge &gt; 3 m, Höhe &gt; 40 cm), Natursteinhaufen (mind. 1 m³) oder Totholzbereich (&gt; 3 m² Grundfläche)</t>
  </si>
  <si>
    <t>Anlage von Sickerbecken, Mulden oder Gerinnen zur temporären Wasserrückhaltung, naturnah gestaltet mit regionalen Hochstaudenfluren</t>
  </si>
  <si>
    <t>Naturnahe Dachbegrünung</t>
  </si>
  <si>
    <t>Substrat aus lokalen Materialien mind. 10 Vol%</t>
  </si>
  <si>
    <t>Sonderstrukturen auf 3 % der Begrünungsflächen</t>
  </si>
  <si>
    <t>Kombination der Dachbegrünung mit einer PV-Anlage</t>
  </si>
  <si>
    <t>Einsatz reflexionsarmer Verglasung (&lt; 15 %) für alle Glasflächen &lt; 3 m² und 
fachgerechte Bewertung der Gefahrenbereiche durch eine Fachperson; bei hohem Risiko ggf. Einsatz von Vogelschutzglas (Klasse A)</t>
  </si>
  <si>
    <t>Voll abgeschirmte, warmweiße LED-Leuchten (&lt;3000 K) auf definierten Nutzflächen im Außenbereich; Einsatz nur auf Nutzflächen</t>
  </si>
  <si>
    <t>Installation von Nisthilfen direkt an Haupt- oder Nebengebäuden für heimische Vogel- oder Fledermausarten</t>
  </si>
  <si>
    <t>Grün und Freiflächenfaktor, Schutz vor Naturgefahren</t>
  </si>
  <si>
    <t>Bepunktung nach untenstehenden Werten</t>
  </si>
  <si>
    <t>Grün und Freiflächenfaktor (GFF)</t>
  </si>
  <si>
    <t>Das Ausmaß von Begrünungen wird mit dem sogenannten Grün- und Freiflächenfaktor (GFF) gewichtet, 
der Grünflächen und Begrünungen den versiegelten Flächen eines Bauprojekts gegenüberstellt.</t>
  </si>
  <si>
    <t>GFF = 0,4</t>
  </si>
  <si>
    <t>GFF = 0,5</t>
  </si>
  <si>
    <t>GFF = 0,6</t>
  </si>
  <si>
    <t>GFF = 0,7</t>
  </si>
  <si>
    <t>GFF = 0,8</t>
  </si>
  <si>
    <t>Darstellung und Berücksichtigung der Niederschlagswasser-Fließwege auf dem Grundstück zur effektiven Ableitung von Starkregenereignissen</t>
  </si>
  <si>
    <t>Realisierung einer hellen Fassade</t>
  </si>
  <si>
    <t>Punkte 
(gesamt max. 40)</t>
  </si>
  <si>
    <t>Kommentierung der Haustechnik-Schemata und Raumbücher (Heizung &amp; Lüftung) durch externe, fachkundige Personen vor Stellung des Bauantrags oder Ausschreibung</t>
  </si>
  <si>
    <t>Erstellung eines Konzepts für Betrieb und Wartung der technischen Anlagen mit Regel- und Messvorgaben, festgelegten Wartungszyklen und Nachweis der Schulung aller relevanten Personen</t>
  </si>
  <si>
    <t>Maßnahme zur Sicherstellung komfortabler Raumfeuchte</t>
  </si>
  <si>
    <t>Feuchteabhängiges Absenken der Volumenströme ohne aktive Befeuchtung im Winter
Feuchterückgewinnung ohne aktive Befeuchtung im Winter</t>
  </si>
  <si>
    <t>3
10</t>
  </si>
  <si>
    <t>Differenzierte Verbrauchserfassung</t>
  </si>
  <si>
    <r>
      <t xml:space="preserve">Dokumentation des Datenerfassungssystems für die zu berücksichtigenden Energieanwendungen wie oben beschrieben. Ausgefülltes Formblatt für die differenzierte Verbrauchserfassung - </t>
    </r>
    <r>
      <rPr>
        <i/>
        <sz val="10"/>
        <color rgb="FFFF0000"/>
        <rFont val="Arial"/>
        <family val="2"/>
      </rPr>
      <t>MUSSKRITERIUM</t>
    </r>
  </si>
  <si>
    <r>
      <t xml:space="preserve">Vorlage eines unterfertigten Einregulierungsprotokolls für Heizung und Lüftung (Mindestangabe: Volumenströme je Ventil und Strang inkl. Dokumentation der Einstellwerte) - </t>
    </r>
    <r>
      <rPr>
        <i/>
        <sz val="9"/>
        <color rgb="FFFF0000"/>
        <rFont val="Arial"/>
        <family val="2"/>
      </rPr>
      <t>MUSSKRITERIUM</t>
    </r>
  </si>
  <si>
    <t>erfüllt</t>
  </si>
  <si>
    <t>nicht erfüllt</t>
  </si>
  <si>
    <t>A 5. Haustechnik-Konzept</t>
  </si>
  <si>
    <r>
      <t>Nachweis</t>
    </r>
    <r>
      <rPr>
        <sz val="10"/>
        <color theme="1"/>
        <rFont val="Arial"/>
        <family val="2"/>
      </rPr>
      <t>: Beschreibung, Planvorlage oder bei Begehung Vor-Ort ersichtlich.</t>
    </r>
  </si>
  <si>
    <t>Schutz der Wandbereiche durch Sockelleisten, austauschbare Wandvertäfelungen oder wischbare Wandfarbe, um Verschmutzung und Beschädigung bei der Reinigung zu vermeiden</t>
  </si>
  <si>
    <t>Sockelleisten/ wischbarer Sockelbereich</t>
  </si>
  <si>
    <r>
      <t>Nachweis</t>
    </r>
    <r>
      <rPr>
        <sz val="10"/>
        <color theme="1"/>
        <rFont val="Arial"/>
        <family val="2"/>
      </rPr>
      <t>: Planvorlage oder bei Begehung Vor-Ort ersichtlich</t>
    </r>
  </si>
  <si>
    <t>Einrichtung von Schmutzfangzonen vor oder hinter allen Haupt- und Nebeneingängen (z. B. bodenbündige Gitterroste, Kunststoff- oder Naturfasermatten) zur Reduzierung von Schmutzeintrag und -verteilung</t>
  </si>
  <si>
    <r>
      <t>Nachweis</t>
    </r>
    <r>
      <rPr>
        <sz val="10"/>
        <color theme="1"/>
        <rFont val="Arial"/>
        <family val="2"/>
      </rPr>
      <t>: Beschreibung Art und Weise bzw. Flächenaufstellung für Glasflächen oder in Pläne ersichtlich</t>
    </r>
  </si>
  <si>
    <t>Bei Erreichbarkeit über 3 m über dem Fußboden oder einem Reinigungsgang und 
mit Reinigungsstange reinigbar für mind. jeweils 70% der Innen- und Außenglasflächen</t>
  </si>
  <si>
    <t>Bei Erreichbarkeit maximal 3 m über dem Fußboden oder einem Reinigungsgang
für mind. jeweils 70% der Innen- und Außenglasflächen</t>
  </si>
  <si>
    <t>Zugänglichkeit und Reinigbarkeit von Innen- und Außenfenstern</t>
  </si>
  <si>
    <t>A 6. Reinigungs- und Instandhaltungsfreundlichkeit</t>
  </si>
  <si>
    <t>Anmerkungen</t>
  </si>
  <si>
    <t>Regenwassernutzung zur Bewässerung der Außenanlagen</t>
  </si>
  <si>
    <t>Regenwasserrnutzung im Gebäude (Anbindung an WC- und Urinalspülung)</t>
  </si>
  <si>
    <t>Nebenrechnung zur Dimensionierung der Zisterne:</t>
  </si>
  <si>
    <t>Außenanlagen/WCs</t>
  </si>
  <si>
    <t>A 7. Regenwassernutzung</t>
  </si>
  <si>
    <t>Netzdienliche Stromspeicherung</t>
  </si>
  <si>
    <t xml:space="preserve">Qualität der Gebäudehülle </t>
  </si>
  <si>
    <r>
      <t xml:space="preserve">LNB - Leitfaden Nachhaltig Bauen 2026
Bewertung reduziert beheizte Gebäude
</t>
    </r>
    <r>
      <rPr>
        <b/>
        <sz val="10"/>
        <rFont val="Arial"/>
        <family val="2"/>
      </rPr>
      <t>Version 2026 - 1.0</t>
    </r>
  </si>
  <si>
    <t>Festlegung von Nachhaltigkeitsstandards in Planungsvergaben</t>
  </si>
  <si>
    <t>B 5. Netzdienliche Stromspeicherung</t>
  </si>
  <si>
    <t>1,0 - 3,0 kWh-Speicher-Nennkapazität pro installierter kWp</t>
  </si>
  <si>
    <t>Ab 3,0 kWh-Speicher-Nennkapazität pro installierter kWp</t>
  </si>
  <si>
    <t>Produktmanagement</t>
  </si>
  <si>
    <t>Naturnahes Bauen und Klimafolgenanpassung</t>
  </si>
  <si>
    <t>Energieverbrauch im Betrieb</t>
  </si>
  <si>
    <t>Nachhaltigkeitsanforderungen in Planung, Prozess und Umsetzung</t>
  </si>
  <si>
    <t>Thermischer Komfort und Raumluftqualität</t>
  </si>
  <si>
    <t>Ökologische Kennwerte des Gebäudes (Oekoindex OI3 und 
Treibhauspotenzial GWP)</t>
  </si>
  <si>
    <t>Entsorgungsindikator (EI10) des Gebäudes</t>
  </si>
  <si>
    <t>Bewertung durch Expertengremium des Block B</t>
  </si>
  <si>
    <t>Punkte (gesamt 
max. 75)</t>
  </si>
  <si>
    <t>Nachweis PHPP Überschreitung 26 °C &lt; 1 % (Jahresbetrachtung)</t>
  </si>
  <si>
    <t>Nachweis durch dynamische Gebäudesimulation</t>
  </si>
  <si>
    <t>Dynamische Gebäudesimulation (zumindest für 3 kritische Räume) bei Einhaltung der maximal zulässigen Übertemperaturgradstunden *</t>
  </si>
  <si>
    <t>Dynamische Gebäudesimulation (zumindest für 3 kritische Räume) bei Unterschreitung der maximal zulässigen Übertemperaturgradstunden um 20 % *</t>
  </si>
  <si>
    <t>Ausführung eines kontrollierten Free-Coolings</t>
  </si>
  <si>
    <t>C 1.Thermischer Komfort im Sommer</t>
  </si>
  <si>
    <t>Thermischer Komfort</t>
  </si>
  <si>
    <r>
      <t xml:space="preserve">Punkte OI3 </t>
    </r>
    <r>
      <rPr>
        <sz val="12"/>
        <rFont val="Arial"/>
        <family val="2"/>
      </rPr>
      <t>(max. 130 Punkte)</t>
    </r>
  </si>
  <si>
    <r>
      <t xml:space="preserve">Punkte OI3 </t>
    </r>
    <r>
      <rPr>
        <sz val="12"/>
        <rFont val="Arial"/>
        <family val="2"/>
      </rPr>
      <t>(max. 165 Punkte)</t>
    </r>
  </si>
  <si>
    <r>
      <t xml:space="preserve">Summe OI3 und GWP </t>
    </r>
    <r>
      <rPr>
        <sz val="12"/>
        <rFont val="Arial"/>
        <family val="2"/>
      </rPr>
      <t>(max. 175 Punkte)</t>
    </r>
  </si>
  <si>
    <r>
      <t xml:space="preserve">Summe OI3 und GWP </t>
    </r>
    <r>
      <rPr>
        <sz val="12"/>
        <rFont val="Arial"/>
        <family val="2"/>
      </rPr>
      <t>(max. 195 Punkte)</t>
    </r>
  </si>
  <si>
    <r>
      <t xml:space="preserve">Summe OI3 und GWP </t>
    </r>
    <r>
      <rPr>
        <sz val="12"/>
        <rFont val="Arial"/>
        <family val="2"/>
      </rPr>
      <t>(max. 240 Punkte)</t>
    </r>
  </si>
  <si>
    <r>
      <t xml:space="preserve">Summe OI3 und GWP </t>
    </r>
    <r>
      <rPr>
        <sz val="12"/>
        <rFont val="Arial"/>
        <family val="2"/>
      </rPr>
      <t>(max. 260 Punkte)</t>
    </r>
  </si>
  <si>
    <t>D. Ökologische Gebäudebilanzierung</t>
  </si>
  <si>
    <r>
      <rPr>
        <b/>
        <sz val="12"/>
        <color rgb="FF0070C0"/>
        <rFont val="Arial"/>
        <family val="2"/>
      </rPr>
      <t>LNB</t>
    </r>
    <r>
      <rPr>
        <b/>
        <sz val="12"/>
        <color theme="1"/>
        <rFont val="Arial"/>
        <family val="2"/>
      </rPr>
      <t xml:space="preserve">, </t>
    </r>
    <r>
      <rPr>
        <b/>
        <sz val="12"/>
        <color rgb="FFC00000"/>
        <rFont val="Arial"/>
        <family val="2"/>
      </rPr>
      <t>QNG</t>
    </r>
    <r>
      <rPr>
        <b/>
        <sz val="12"/>
        <color theme="1"/>
        <rFont val="Arial"/>
        <family val="2"/>
      </rPr>
      <t xml:space="preserve"> Nebenrechnungen </t>
    </r>
  </si>
  <si>
    <t>QNG 01 Flächeninanspruchnahme</t>
  </si>
  <si>
    <t>Außenanlagefläche gesamt</t>
  </si>
  <si>
    <t>Außenanlagefläche teilversiegelt</t>
  </si>
  <si>
    <t>Außenanlagefläche versiegelt</t>
  </si>
  <si>
    <t>Außenanlagefläche nicht versiegelt</t>
  </si>
  <si>
    <t>Anteil unversiegelte Außenanlagefläche</t>
  </si>
  <si>
    <t>QNG 04 Trinkwasserbedarf in der Nutzungsphase</t>
  </si>
  <si>
    <t>QNG 10 Erfüllung von Nutzeranforderungen inkl. Qualitätskontrolle der Bauausführung</t>
  </si>
  <si>
    <t>LNB C.2 Messung Raumluftqualität</t>
  </si>
  <si>
    <r>
      <t>Ergebnis LNB_</t>
    </r>
    <r>
      <rPr>
        <b/>
        <sz val="10"/>
        <color rgb="FFC00000"/>
        <rFont val="Arial"/>
        <family val="2"/>
      </rPr>
      <t>QNG</t>
    </r>
  </si>
  <si>
    <t>QNG 15 Wirtschaftlichkeitsabschätzungen</t>
  </si>
  <si>
    <t>Anzahl vereinfachte Berechnung Wirtschaftlichkeit (inkl. CO₂-Folgekosten)</t>
  </si>
  <si>
    <t>LNB A 4.3 Grün- und Freiflächenfaktor</t>
  </si>
  <si>
    <t>Grundsätzliche Angaben</t>
  </si>
  <si>
    <r>
      <t>Fläche (m</t>
    </r>
    <r>
      <rPr>
        <b/>
        <vertAlign val="superscript"/>
        <sz val="11"/>
        <color theme="1"/>
        <rFont val="Arial"/>
        <family val="2"/>
      </rPr>
      <t>2</t>
    </r>
    <r>
      <rPr>
        <b/>
        <sz val="11"/>
        <color theme="1"/>
        <rFont val="Arial"/>
        <family val="2"/>
      </rPr>
      <t>)</t>
    </r>
  </si>
  <si>
    <t>Basisfläche</t>
  </si>
  <si>
    <t>Elementform</t>
  </si>
  <si>
    <t>Flächenfaktor</t>
  </si>
  <si>
    <t>Erschließungsflächen, Plätze und versiegelte Flächen</t>
  </si>
  <si>
    <t xml:space="preserve">Wasserdurchlässige mit einem Abflussbeiwert bis zu 0,3
</t>
  </si>
  <si>
    <t>Teilversiegelte Oberflächen mit einem Abflussbeiwert 0,3 - 0,6</t>
  </si>
  <si>
    <t>Versiegelte Oberflächen ab einem Abflussbeiwert &gt; 0,6</t>
  </si>
  <si>
    <t>Freiflächen mit Vegetation</t>
  </si>
  <si>
    <t>Über natürlich gewachsenem Boden</t>
  </si>
  <si>
    <t>Rasen-, Wiesen- und Staudenflächen (unverholzte Bereiche)</t>
  </si>
  <si>
    <t>Strauch- und Heckenflächen</t>
  </si>
  <si>
    <t>Auf unterbauten Flächen &gt; 150 cm Schüttungshöhe</t>
  </si>
  <si>
    <t>Auf unterbauten Flächen &lt; 150 cm Schüttungshöhe</t>
  </si>
  <si>
    <t>Wasserflächen</t>
  </si>
  <si>
    <t>Künstliches Becken/technisches Wasser</t>
  </si>
  <si>
    <t>Naturnaher Teich/Wasserfläche</t>
  </si>
  <si>
    <t>Sickerfläche, Rückhaltebecken, Raingarden oder ähnliches</t>
  </si>
  <si>
    <t>Fassadenbegrünung</t>
  </si>
  <si>
    <t>Bodengebundene Fassadenbegrünung</t>
  </si>
  <si>
    <t>Troggebundene Fassadenbegrünung</t>
  </si>
  <si>
    <t>Fassadengebundene modulare bzw. vollflächige Vegetationsträger</t>
  </si>
  <si>
    <t>Dachflächen und Dachbegrünung</t>
  </si>
  <si>
    <t xml:space="preserve">Extensivbegrünung, im Durchschnitt 10-14 cm Vegetationstragschicht oder PV-Grün Kombination mit 8 cm Vegetationstragschicht 
(ÖNORM L1131 / ÖNORM L1131 Beiblatt Solargründächer / FLL Dachbegrünungsrichtlinien) </t>
  </si>
  <si>
    <t>Extensivbegrünung, im Durchschnitt 15-24 cm Vegetationstragschicht (ÖNORM L1131 / FLL Dachbegrünungsrichtlinien)</t>
  </si>
  <si>
    <t>Intensivbegrünung &gt;25 cm Vegetationstragschicht 
(ÖNORM L1131 / FLL Dachbegrünungsrichtlinien)</t>
  </si>
  <si>
    <t>Bonuselemente</t>
  </si>
  <si>
    <t>Begrünte Pergolen</t>
  </si>
  <si>
    <t>Freistehende grüne Wände</t>
  </si>
  <si>
    <t>Verholzende Vegetation</t>
  </si>
  <si>
    <t>Anzahl Bäume</t>
  </si>
  <si>
    <r>
      <t xml:space="preserve">Baum groß (~ 15 m Kronendurchmesser Zielwert), je Baum: </t>
    </r>
    <r>
      <rPr>
        <b/>
        <sz val="11"/>
        <color theme="1"/>
        <rFont val="Arial"/>
        <family val="2"/>
      </rPr>
      <t>75 m²</t>
    </r>
  </si>
  <si>
    <r>
      <t xml:space="preserve">Baum mittel (~ 10 m Kronendurchmesser Zielwert), je Baum: </t>
    </r>
    <r>
      <rPr>
        <b/>
        <sz val="11"/>
        <color theme="1"/>
        <rFont val="Arial"/>
        <family val="2"/>
      </rPr>
      <t>20 m²</t>
    </r>
  </si>
  <si>
    <r>
      <t xml:space="preserve">Baum klein (~ 5 m Kronendurchmesser Zielwert), je Baum: </t>
    </r>
    <r>
      <rPr>
        <b/>
        <sz val="11"/>
        <color theme="1"/>
        <rFont val="Arial"/>
        <family val="2"/>
      </rPr>
      <t>5 m²</t>
    </r>
  </si>
  <si>
    <t>Ergebnis Naturhaushaltswirksame Fläche</t>
  </si>
  <si>
    <t>NHW</t>
  </si>
  <si>
    <t>Ergebnis Grün und Freiflähenindikator (NHW/Grundstücksfläche)</t>
  </si>
  <si>
    <t>GFF</t>
  </si>
  <si>
    <t>QNG 20 Gründach</t>
  </si>
  <si>
    <r>
      <t xml:space="preserve">Summe Dachfläche(n) begrünbar 
(Dachneigung </t>
    </r>
    <r>
      <rPr>
        <sz val="11"/>
        <rFont val="Aptos Narrow"/>
        <family val="2"/>
      </rPr>
      <t>≤</t>
    </r>
    <r>
      <rPr>
        <sz val="11"/>
        <rFont val="Arial"/>
        <family val="2"/>
      </rPr>
      <t>10°)</t>
    </r>
  </si>
  <si>
    <t>Keine Anforderungen Nichtwohngebäude - händisch auf Zielwert stellen</t>
  </si>
  <si>
    <r>
      <t>Benennung einer ökologischen Fachbauaufsicht durch Bauherrn</t>
    </r>
    <r>
      <rPr>
        <sz val="10"/>
        <color rgb="FFFF0000"/>
        <rFont val="Arial"/>
        <family val="2"/>
      </rPr>
      <t xml:space="preserve"> </t>
    </r>
    <r>
      <rPr>
        <sz val="10"/>
        <rFont val="Arial"/>
        <family val="2"/>
      </rPr>
      <t xml:space="preserve">
(max. 3 relevante Gewerke nicht erfasst)</t>
    </r>
  </si>
  <si>
    <t xml:space="preserve"> =WENN(Nebenrechnungen!$C$82=1;"x";" ")</t>
  </si>
  <si>
    <t>Vermeidung von Kupfer und Zink im bewitterten Außenbereich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</si>
</sst>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8" formatCode="#,##0.00\ &quot;€&quot;;[Red]\-#,##0.00\ &quot;€&quot;"/>
    <numFmt numFmtId="43" formatCode="_-* #,##0.00_-;\-* #,##0.00_-;_-* &quot;-&quot;??_-;_-@_-"/>
    <numFmt numFmtId="164" formatCode="0&quot;.&quot;"/>
    <numFmt numFmtId="165" formatCode="&quot;max. &quot;0"/>
    <numFmt numFmtId="166" formatCode="_-* #,##0_-;\-* #,##0_-;_-* &quot;-&quot;??_-;_-@_-"/>
    <numFmt numFmtId="167" formatCode="0.0"/>
    <numFmt numFmtId="168" formatCode="0.000"/>
  </numFmts>
  <fonts count="117">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indexed="8"/>
      <name val="Calibri"/>
      <family val="2"/>
    </font>
    <font>
      <sz val="11"/>
      <color indexed="8"/>
      <name val="Calibri"/>
      <family val="2"/>
    </font>
    <font>
      <sz val="10"/>
      <name val="Arial"/>
      <family val="2"/>
    </font>
    <font>
      <sz val="12"/>
      <name val="Arial"/>
      <family val="2"/>
    </font>
    <font>
      <sz val="10"/>
      <name val="Arial"/>
      <family val="2"/>
    </font>
    <font>
      <sz val="8"/>
      <name val="Arial"/>
      <family val="2"/>
    </font>
    <font>
      <b/>
      <sz val="10"/>
      <name val="Arial"/>
      <family val="2"/>
    </font>
    <font>
      <b/>
      <sz val="12"/>
      <name val="Arial"/>
      <family val="2"/>
    </font>
    <font>
      <b/>
      <sz val="12"/>
      <name val="L Frutiger Light"/>
    </font>
    <font>
      <i/>
      <sz val="10"/>
      <name val="Arial"/>
      <family val="2"/>
    </font>
    <font>
      <b/>
      <sz val="18"/>
      <name val="Arial"/>
      <family val="2"/>
    </font>
    <font>
      <b/>
      <sz val="22"/>
      <name val="Arial"/>
      <family val="2"/>
    </font>
    <font>
      <sz val="10"/>
      <color indexed="8"/>
      <name val="Arial"/>
      <family val="2"/>
    </font>
    <font>
      <b/>
      <sz val="12"/>
      <color indexed="10"/>
      <name val="Arial"/>
      <family val="2"/>
    </font>
    <font>
      <b/>
      <sz val="10"/>
      <color indexed="8"/>
      <name val="Arial"/>
      <family val="2"/>
    </font>
    <font>
      <b/>
      <sz val="12"/>
      <color indexed="8"/>
      <name val="Arial"/>
      <family val="2"/>
    </font>
    <font>
      <sz val="11"/>
      <color indexed="62"/>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17"/>
      <name val="Calibri"/>
      <family val="2"/>
    </font>
    <font>
      <sz val="11"/>
      <color indexed="20"/>
      <name val="Calibri"/>
      <family val="2"/>
    </font>
    <font>
      <b/>
      <sz val="11"/>
      <color indexed="63"/>
      <name val="Calibri"/>
      <family val="2"/>
    </font>
    <font>
      <b/>
      <sz val="11"/>
      <color indexed="52"/>
      <name val="Calibri"/>
      <family val="2"/>
    </font>
    <font>
      <sz val="11"/>
      <color indexed="52"/>
      <name val="Calibri"/>
      <family val="2"/>
    </font>
    <font>
      <b/>
      <sz val="11"/>
      <color indexed="9"/>
      <name val="Calibri"/>
      <family val="2"/>
    </font>
    <font>
      <sz val="11"/>
      <color indexed="10"/>
      <name val="Calibri"/>
      <family val="2"/>
    </font>
    <font>
      <i/>
      <sz val="11"/>
      <color indexed="23"/>
      <name val="Calibri"/>
      <family val="2"/>
    </font>
    <font>
      <b/>
      <sz val="11"/>
      <color indexed="8"/>
      <name val="Calibri"/>
      <family val="2"/>
    </font>
    <font>
      <sz val="11"/>
      <color indexed="9"/>
      <name val="Calibri"/>
      <family val="2"/>
    </font>
    <font>
      <u/>
      <sz val="10"/>
      <color indexed="12"/>
      <name val="Arial"/>
      <family val="2"/>
    </font>
    <font>
      <sz val="8"/>
      <name val="Arial"/>
      <family val="2"/>
    </font>
    <font>
      <b/>
      <sz val="16"/>
      <name val="Arial"/>
      <family val="2"/>
    </font>
    <font>
      <sz val="16"/>
      <name val="Arial"/>
      <family val="2"/>
    </font>
    <font>
      <b/>
      <sz val="16"/>
      <name val="L Frutiger Light"/>
    </font>
    <font>
      <b/>
      <sz val="11"/>
      <name val="Arial"/>
      <family val="2"/>
    </font>
    <font>
      <b/>
      <sz val="11"/>
      <color indexed="8"/>
      <name val="Arial"/>
      <family val="2"/>
    </font>
    <font>
      <sz val="11"/>
      <name val="Arial"/>
      <family val="2"/>
    </font>
    <font>
      <sz val="6"/>
      <name val="Arial"/>
      <family val="2"/>
    </font>
    <font>
      <b/>
      <sz val="9"/>
      <name val="Arial"/>
      <family val="2"/>
    </font>
    <font>
      <b/>
      <sz val="14"/>
      <name val="Arial"/>
      <family val="2"/>
    </font>
    <font>
      <sz val="10"/>
      <name val="Arial"/>
      <family val="2"/>
    </font>
    <font>
      <b/>
      <sz val="11"/>
      <color rgb="FF3F3F3F"/>
      <name val="Calibri"/>
      <family val="2"/>
      <scheme val="minor"/>
    </font>
    <font>
      <sz val="11"/>
      <color theme="1"/>
      <name val="Calibri"/>
      <family val="2"/>
      <scheme val="minor"/>
    </font>
    <font>
      <sz val="11"/>
      <color rgb="FF3F3F76"/>
      <name val="Calibri"/>
      <family val="2"/>
      <scheme val="minor"/>
    </font>
    <font>
      <sz val="11"/>
      <color theme="1"/>
      <name val="Arial"/>
      <family val="2"/>
    </font>
    <font>
      <sz val="10"/>
      <color theme="1"/>
      <name val="Arial"/>
      <family val="2"/>
    </font>
    <font>
      <sz val="12"/>
      <color theme="1"/>
      <name val="Arial"/>
      <family val="2"/>
    </font>
    <font>
      <b/>
      <sz val="10"/>
      <color theme="1"/>
      <name val="Arial"/>
      <family val="2"/>
    </font>
    <font>
      <b/>
      <sz val="11"/>
      <color theme="1"/>
      <name val="Calibri"/>
      <family val="2"/>
      <scheme val="minor"/>
    </font>
    <font>
      <b/>
      <sz val="12"/>
      <color theme="1"/>
      <name val="Arial"/>
      <family val="2"/>
    </font>
    <font>
      <b/>
      <sz val="11"/>
      <color theme="1"/>
      <name val="Arial"/>
      <family val="2"/>
    </font>
    <font>
      <sz val="14"/>
      <name val="Arial"/>
      <family val="2"/>
    </font>
    <font>
      <b/>
      <u/>
      <sz val="11"/>
      <name val="Arial"/>
      <family val="2"/>
    </font>
    <font>
      <b/>
      <u/>
      <sz val="14"/>
      <name val="Arial"/>
      <family val="2"/>
    </font>
    <font>
      <b/>
      <sz val="14"/>
      <color theme="1"/>
      <name val="Calibri"/>
      <family val="2"/>
      <scheme val="minor"/>
    </font>
    <font>
      <b/>
      <u/>
      <sz val="12"/>
      <name val="Arial"/>
      <family val="2"/>
    </font>
    <font>
      <vertAlign val="subscript"/>
      <sz val="10"/>
      <color theme="1"/>
      <name val="Arial"/>
      <family val="2"/>
    </font>
    <font>
      <sz val="22"/>
      <name val="Arial"/>
      <family val="2"/>
    </font>
    <font>
      <b/>
      <vertAlign val="subscript"/>
      <sz val="10"/>
      <color theme="1"/>
      <name val="Arial"/>
      <family val="2"/>
    </font>
    <font>
      <sz val="12"/>
      <color theme="0"/>
      <name val="Arial"/>
      <family val="2"/>
    </font>
    <font>
      <b/>
      <sz val="11"/>
      <color rgb="FFFF0000"/>
      <name val="Arial"/>
      <family val="2"/>
    </font>
    <font>
      <sz val="11"/>
      <color indexed="62"/>
      <name val="Arial"/>
      <family val="2"/>
    </font>
    <font>
      <b/>
      <sz val="10"/>
      <color rgb="FF000000"/>
      <name val="Arial"/>
      <family val="2"/>
    </font>
    <font>
      <b/>
      <sz val="12"/>
      <color indexed="64"/>
      <name val="Arial"/>
      <family val="2"/>
    </font>
    <font>
      <sz val="8"/>
      <color theme="1"/>
      <name val="Arial"/>
      <family val="2"/>
    </font>
    <font>
      <sz val="10"/>
      <color rgb="FF000000"/>
      <name val="Arial"/>
      <family val="2"/>
    </font>
    <font>
      <b/>
      <sz val="16"/>
      <color theme="1"/>
      <name val="Arial"/>
      <family val="2"/>
    </font>
    <font>
      <b/>
      <vertAlign val="subscript"/>
      <sz val="12"/>
      <color theme="1"/>
      <name val="Arial"/>
      <family val="2"/>
    </font>
    <font>
      <vertAlign val="superscript"/>
      <sz val="10"/>
      <color theme="1"/>
      <name val="Arial"/>
      <family val="2"/>
    </font>
    <font>
      <sz val="10"/>
      <color indexed="2"/>
      <name val="Arial"/>
      <family val="2"/>
    </font>
    <font>
      <sz val="11"/>
      <color indexed="64"/>
      <name val="Calibri"/>
      <family val="2"/>
    </font>
    <font>
      <b/>
      <sz val="11"/>
      <color indexed="64"/>
      <name val="Arial"/>
      <family val="2"/>
    </font>
    <font>
      <b/>
      <u/>
      <sz val="12"/>
      <color theme="1"/>
      <name val="Arial"/>
      <family val="2"/>
    </font>
    <font>
      <i/>
      <sz val="10"/>
      <color rgb="FFFF0000"/>
      <name val="Arial"/>
      <family val="2"/>
    </font>
    <font>
      <b/>
      <sz val="21"/>
      <name val="Arial"/>
      <family val="2"/>
    </font>
    <font>
      <sz val="10"/>
      <color rgb="FFFF0000"/>
      <name val="Arial"/>
      <family val="2"/>
    </font>
    <font>
      <b/>
      <sz val="10"/>
      <color rgb="FFFF0000"/>
      <name val="Arial"/>
      <family val="2"/>
    </font>
    <font>
      <b/>
      <sz val="14"/>
      <color theme="1"/>
      <name val="Arial"/>
      <family val="2"/>
    </font>
    <font>
      <b/>
      <sz val="10"/>
      <color indexed="64"/>
      <name val="Arial"/>
      <family val="2"/>
    </font>
    <font>
      <sz val="10"/>
      <color indexed="64"/>
      <name val="Arial"/>
      <family val="2"/>
    </font>
    <font>
      <sz val="11"/>
      <color indexed="64"/>
      <name val="Arial"/>
      <family val="2"/>
    </font>
    <font>
      <b/>
      <vertAlign val="subscript"/>
      <sz val="10"/>
      <name val="Arial"/>
      <family val="2"/>
    </font>
    <font>
      <sz val="12"/>
      <color rgb="FFFF0000"/>
      <name val="Arial"/>
      <family val="2"/>
    </font>
    <font>
      <b/>
      <sz val="12"/>
      <color rgb="FFC00000"/>
      <name val="Arial"/>
      <family val="2"/>
    </font>
    <font>
      <u/>
      <sz val="10"/>
      <color indexed="4"/>
      <name val="Arial"/>
      <family val="2"/>
    </font>
    <font>
      <b/>
      <u/>
      <sz val="10"/>
      <color indexed="4"/>
      <name val="Arial"/>
      <family val="2"/>
    </font>
    <font>
      <vertAlign val="subscript"/>
      <sz val="12"/>
      <name val="Arial"/>
      <family val="2"/>
    </font>
    <font>
      <sz val="10"/>
      <color theme="1"/>
      <name val="Arial"/>
      <family val="2"/>
    </font>
    <font>
      <b/>
      <sz val="11"/>
      <color theme="3"/>
      <name val="Arial"/>
      <family val="2"/>
    </font>
    <font>
      <sz val="9"/>
      <color theme="1"/>
      <name val="Arial"/>
      <family val="2"/>
    </font>
    <font>
      <b/>
      <sz val="16"/>
      <color theme="1"/>
      <name val="Calibri"/>
      <family val="2"/>
      <scheme val="minor"/>
    </font>
    <font>
      <sz val="12"/>
      <name val="Aptos Narrow"/>
      <family val="2"/>
    </font>
    <font>
      <sz val="16"/>
      <color theme="1"/>
      <name val="Calibri"/>
      <family val="2"/>
      <scheme val="minor"/>
    </font>
    <font>
      <b/>
      <u/>
      <sz val="10"/>
      <name val="Arial"/>
      <family val="2"/>
    </font>
    <font>
      <sz val="9"/>
      <color indexed="8"/>
      <name val="Arial"/>
      <family val="2"/>
    </font>
    <font>
      <i/>
      <sz val="9"/>
      <color rgb="FFFF0000"/>
      <name val="Arial"/>
      <family val="2"/>
    </font>
    <font>
      <b/>
      <sz val="12"/>
      <color rgb="FF0070C0"/>
      <name val="Arial"/>
      <family val="2"/>
    </font>
    <font>
      <b/>
      <sz val="12"/>
      <color theme="3"/>
      <name val="Arial"/>
      <family val="2"/>
    </font>
    <font>
      <b/>
      <sz val="10"/>
      <color rgb="FFC00000"/>
      <name val="Arial"/>
      <family val="2"/>
    </font>
    <font>
      <b/>
      <vertAlign val="superscript"/>
      <sz val="11"/>
      <color theme="1"/>
      <name val="Arial"/>
      <family val="2"/>
    </font>
    <font>
      <b/>
      <sz val="11"/>
      <color rgb="FFC00000"/>
      <name val="Arial"/>
      <family val="2"/>
    </font>
    <font>
      <sz val="11"/>
      <name val="Aptos Narrow"/>
      <family val="2"/>
    </font>
  </fonts>
  <fills count="70">
    <fill>
      <patternFill patternType="none"/>
    </fill>
    <fill>
      <patternFill patternType="gray125"/>
    </fill>
    <fill>
      <patternFill patternType="solid">
        <fgColor indexed="45"/>
      </patternFill>
    </fill>
    <fill>
      <patternFill patternType="solid">
        <fgColor indexed="31"/>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26"/>
      </patternFill>
    </fill>
    <fill>
      <patternFill patternType="solid">
        <fgColor indexed="55"/>
      </patternFill>
    </fill>
    <fill>
      <patternFill patternType="solid">
        <fgColor indexed="55"/>
        <bgColor indexed="64"/>
      </patternFill>
    </fill>
    <fill>
      <patternFill patternType="solid">
        <fgColor rgb="FFF2F2F2"/>
      </patternFill>
    </fill>
    <fill>
      <patternFill patternType="solid">
        <fgColor rgb="FFFFCC99"/>
      </patternFill>
    </fill>
    <fill>
      <patternFill patternType="solid">
        <fgColor theme="6" tint="0.39997558519241921"/>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rgb="FFFFFF99"/>
        <bgColor indexed="64"/>
      </patternFill>
    </fill>
    <fill>
      <patternFill patternType="solid">
        <fgColor theme="9" tint="-0.249977111117893"/>
        <bgColor indexed="64"/>
      </patternFill>
    </fill>
    <fill>
      <patternFill patternType="solid">
        <fgColor rgb="FF538ED5"/>
        <bgColor indexed="64"/>
      </patternFill>
    </fill>
    <fill>
      <patternFill patternType="solid">
        <fgColor rgb="FFC4D79B"/>
        <bgColor indexed="64"/>
      </patternFill>
    </fill>
    <fill>
      <patternFill patternType="solid">
        <fgColor theme="3" tint="0.39997558519241921"/>
        <bgColor indexed="64"/>
      </patternFill>
    </fill>
    <fill>
      <patternFill patternType="solid">
        <fgColor theme="0" tint="-4.9989318521683403E-2"/>
        <bgColor indexed="64"/>
      </patternFill>
    </fill>
    <fill>
      <patternFill patternType="solid">
        <fgColor rgb="FF969696"/>
        <bgColor indexed="64"/>
      </patternFill>
    </fill>
    <fill>
      <patternFill patternType="solid">
        <fgColor indexed="47"/>
        <bgColor indexed="47"/>
      </patternFill>
    </fill>
    <fill>
      <patternFill patternType="solid">
        <fgColor indexed="43"/>
        <bgColor indexed="64"/>
      </patternFill>
    </fill>
    <fill>
      <patternFill patternType="solid">
        <fgColor indexed="45"/>
        <bgColor indexed="45"/>
      </patternFill>
    </fill>
    <fill>
      <patternFill patternType="solid">
        <fgColor rgb="FFFFFF00"/>
        <bgColor indexed="64"/>
      </patternFill>
    </fill>
    <fill>
      <patternFill patternType="solid">
        <fgColor rgb="FFFF0000"/>
        <bgColor indexed="64"/>
      </patternFill>
    </fill>
    <fill>
      <patternFill patternType="solid">
        <fgColor theme="0" tint="-0.34998626667073579"/>
        <bgColor indexed="64"/>
      </patternFill>
    </fill>
    <fill>
      <patternFill patternType="solid">
        <fgColor theme="6" tint="0.39997558519241921"/>
        <bgColor indexed="47"/>
      </patternFill>
    </fill>
    <fill>
      <patternFill patternType="solid">
        <fgColor theme="6" tint="0.79998168889431442"/>
        <bgColor indexed="47"/>
      </patternFill>
    </fill>
    <fill>
      <patternFill patternType="solid">
        <fgColor theme="6" tint="0.59999389629810485"/>
        <bgColor indexed="64"/>
      </patternFill>
    </fill>
    <fill>
      <patternFill patternType="solid">
        <fgColor theme="5" tint="0.39997558519241921"/>
        <bgColor indexed="64"/>
      </patternFill>
    </fill>
    <fill>
      <patternFill patternType="solid">
        <fgColor theme="3" tint="0.79998168889431442"/>
        <bgColor indexed="47"/>
      </patternFill>
    </fill>
    <fill>
      <patternFill patternType="solid">
        <fgColor theme="3" tint="0.59999389629810485"/>
        <bgColor indexed="64"/>
      </patternFill>
    </fill>
    <fill>
      <patternFill patternType="solid">
        <fgColor theme="3" tint="0.59999389629810485"/>
        <bgColor indexed="47"/>
      </patternFill>
    </fill>
    <fill>
      <patternFill patternType="solid">
        <fgColor theme="3" tint="0.79998168889431442"/>
        <bgColor indexed="64"/>
      </patternFill>
    </fill>
    <fill>
      <patternFill patternType="solid">
        <fgColor theme="7" tint="0.79998168889431442"/>
        <bgColor indexed="64"/>
      </patternFill>
    </fill>
    <fill>
      <patternFill patternType="solid">
        <fgColor theme="7" tint="0.79998168889431442"/>
        <bgColor indexed="47"/>
      </patternFill>
    </fill>
    <fill>
      <patternFill patternType="solid">
        <fgColor theme="7" tint="0.59999389629810485"/>
        <bgColor indexed="64"/>
      </patternFill>
    </fill>
    <fill>
      <patternFill patternType="solid">
        <fgColor theme="7" tint="-0.249977111117893"/>
        <bgColor indexed="64"/>
      </patternFill>
    </fill>
    <fill>
      <patternFill patternType="solid">
        <fgColor theme="8" tint="0.79998168889431442"/>
        <bgColor indexed="47"/>
      </patternFill>
    </fill>
    <fill>
      <patternFill patternType="solid">
        <fgColor theme="8" tint="0.79998168889431442"/>
        <bgColor indexed="64"/>
      </patternFill>
    </fill>
    <fill>
      <patternFill patternType="solid">
        <fgColor theme="8" tint="0.59999389629810485"/>
        <bgColor indexed="64"/>
      </patternFill>
    </fill>
    <fill>
      <patternFill patternType="solid">
        <fgColor theme="8" tint="0.59999389629810485"/>
        <bgColor indexed="47"/>
      </patternFill>
    </fill>
    <fill>
      <patternFill patternType="solid">
        <fgColor theme="8" tint="-0.249977111117893"/>
        <bgColor indexed="64"/>
      </patternFill>
    </fill>
    <fill>
      <patternFill patternType="solid">
        <fgColor theme="9" tint="0.79998168889431442"/>
        <bgColor indexed="64"/>
      </patternFill>
    </fill>
    <fill>
      <patternFill patternType="solid">
        <fgColor theme="9" tint="0.79998168889431442"/>
        <bgColor indexed="47"/>
      </patternFill>
    </fill>
    <fill>
      <patternFill patternType="solid">
        <fgColor theme="9" tint="0.39997558519241921"/>
        <bgColor indexed="64"/>
      </patternFill>
    </fill>
    <fill>
      <patternFill patternType="solid">
        <fgColor theme="0" tint="-4.9989318521683403E-2"/>
        <bgColor indexed="47"/>
      </patternFill>
    </fill>
    <fill>
      <patternFill patternType="solid">
        <fgColor theme="0" tint="-0.14999847407452621"/>
        <bgColor indexed="47"/>
      </patternFill>
    </fill>
    <fill>
      <patternFill patternType="solid">
        <fgColor theme="0" tint="-0.34998626667073579"/>
        <bgColor indexed="47"/>
      </patternFill>
    </fill>
    <fill>
      <patternFill patternType="solid">
        <fgColor theme="4" tint="0.79998168889431442"/>
        <bgColor indexed="64"/>
      </patternFill>
    </fill>
    <fill>
      <patternFill patternType="solid">
        <fgColor theme="4" tint="0.39997558519241921"/>
        <bgColor indexed="64"/>
      </patternFill>
    </fill>
    <fill>
      <patternFill patternType="solid">
        <fgColor theme="0"/>
        <bgColor indexed="64"/>
      </patternFill>
    </fill>
  </fills>
  <borders count="134">
    <border>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top/>
      <bottom style="medium">
        <color indexed="64"/>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thin">
        <color indexed="64"/>
      </bottom>
      <diagonal/>
    </border>
    <border>
      <left/>
      <right/>
      <top/>
      <bottom style="thin">
        <color indexed="64"/>
      </bottom>
      <diagonal/>
    </border>
    <border>
      <left style="medium">
        <color indexed="64"/>
      </left>
      <right style="medium">
        <color indexed="64"/>
      </right>
      <top/>
      <bottom/>
      <diagonal/>
    </border>
    <border>
      <left/>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medium">
        <color indexed="64"/>
      </bottom>
      <diagonal/>
    </border>
    <border>
      <left style="medium">
        <color indexed="64"/>
      </left>
      <right/>
      <top/>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medium">
        <color indexed="64"/>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diagonal/>
    </border>
    <border>
      <left/>
      <right/>
      <top style="thin">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style="medium">
        <color indexed="64"/>
      </bottom>
      <diagonal/>
    </border>
    <border>
      <left style="medium">
        <color indexed="64"/>
      </left>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style="medium">
        <color indexed="64"/>
      </bottom>
      <diagonal/>
    </border>
    <border>
      <left style="thin">
        <color indexed="64"/>
      </left>
      <right/>
      <top/>
      <bottom/>
      <diagonal/>
    </border>
    <border>
      <left/>
      <right style="medium">
        <color indexed="64"/>
      </right>
      <top style="medium">
        <color indexed="64"/>
      </top>
      <bottom style="medium">
        <color indexed="64"/>
      </bottom>
      <diagonal/>
    </border>
    <border>
      <left/>
      <right style="thin">
        <color indexed="64"/>
      </right>
      <top/>
      <bottom/>
      <diagonal/>
    </border>
    <border>
      <left/>
      <right style="thin">
        <color indexed="64"/>
      </right>
      <top/>
      <bottom style="thin">
        <color indexed="64"/>
      </bottom>
      <diagonal/>
    </border>
    <border>
      <left style="hair">
        <color indexed="64"/>
      </left>
      <right style="thin">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hair">
        <color indexed="64"/>
      </top>
      <bottom/>
      <diagonal/>
    </border>
    <border>
      <left style="hair">
        <color indexed="64"/>
      </left>
      <right/>
      <top/>
      <bottom/>
      <diagonal/>
    </border>
    <border>
      <left style="hair">
        <color indexed="64"/>
      </left>
      <right style="hair">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right style="hair">
        <color indexed="64"/>
      </right>
      <top/>
      <bottom/>
      <diagonal/>
    </border>
    <border>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style="thin">
        <color indexed="64"/>
      </left>
      <right/>
      <top/>
      <bottom style="thin">
        <color indexed="64"/>
      </bottom>
      <diagonal/>
    </border>
    <border>
      <left style="medium">
        <color indexed="64"/>
      </left>
      <right/>
      <top/>
      <bottom style="thin">
        <color indexed="64"/>
      </bottom>
      <diagonal/>
    </border>
    <border>
      <left style="thin">
        <color indexed="64"/>
      </left>
      <right style="medium">
        <color indexed="64"/>
      </right>
      <top/>
      <bottom/>
      <diagonal/>
    </border>
    <border>
      <left/>
      <right style="medium">
        <color indexed="64"/>
      </right>
      <top style="thin">
        <color indexed="64"/>
      </top>
      <bottom/>
      <diagonal/>
    </border>
    <border>
      <left style="medium">
        <color indexed="64"/>
      </left>
      <right/>
      <top/>
      <bottom style="medium">
        <color indexed="64"/>
      </bottom>
      <diagonal/>
    </border>
    <border>
      <left/>
      <right style="thin">
        <color indexed="64"/>
      </right>
      <top style="medium">
        <color indexed="64"/>
      </top>
      <bottom style="thin">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diagonalUp="1">
      <left style="medium">
        <color indexed="64"/>
      </left>
      <right/>
      <top style="thin">
        <color indexed="64"/>
      </top>
      <bottom/>
      <diagonal style="thin">
        <color indexed="64"/>
      </diagonal>
    </border>
    <border diagonalUp="1">
      <left/>
      <right style="medium">
        <color indexed="64"/>
      </right>
      <top style="thin">
        <color indexed="64"/>
      </top>
      <bottom/>
      <diagonal style="thin">
        <color indexed="64"/>
      </diagonal>
    </border>
    <border diagonalUp="1">
      <left style="medium">
        <color indexed="64"/>
      </left>
      <right/>
      <top/>
      <bottom/>
      <diagonal style="thin">
        <color indexed="64"/>
      </diagonal>
    </border>
    <border diagonalUp="1">
      <left/>
      <right style="medium">
        <color indexed="64"/>
      </right>
      <top/>
      <bottom/>
      <diagonal style="thin">
        <color indexed="64"/>
      </diagonal>
    </border>
    <border diagonalUp="1">
      <left style="medium">
        <color indexed="64"/>
      </left>
      <right/>
      <top/>
      <bottom style="medium">
        <color indexed="64"/>
      </bottom>
      <diagonal style="thin">
        <color indexed="64"/>
      </diagonal>
    </border>
    <border diagonalUp="1">
      <left/>
      <right style="medium">
        <color indexed="64"/>
      </right>
      <top/>
      <bottom style="medium">
        <color indexed="64"/>
      </bottom>
      <diagonal style="thin">
        <color indexed="64"/>
      </diagonal>
    </border>
    <border>
      <left style="thin">
        <color indexed="64"/>
      </left>
      <right style="thin">
        <color indexed="64"/>
      </right>
      <top/>
      <bottom style="medium">
        <color indexed="64"/>
      </bottom>
      <diagonal/>
    </border>
    <border>
      <left style="medium">
        <color indexed="64"/>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diagonalUp="1">
      <left style="thin">
        <color indexed="64"/>
      </left>
      <right style="medium">
        <color indexed="64"/>
      </right>
      <top/>
      <bottom/>
      <diagonal style="thin">
        <color indexed="64"/>
      </diagonal>
    </border>
    <border>
      <left style="medium">
        <color indexed="64"/>
      </left>
      <right/>
      <top style="thin">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diagonalUp="1">
      <left style="thin">
        <color indexed="64"/>
      </left>
      <right style="medium">
        <color indexed="64"/>
      </right>
      <top style="thin">
        <color indexed="64"/>
      </top>
      <bottom/>
      <diagonal style="thin">
        <color indexed="64"/>
      </diagonal>
    </border>
    <border>
      <left style="thin">
        <color indexed="64"/>
      </left>
      <right style="medium">
        <color indexed="64"/>
      </right>
      <top style="thin">
        <color indexed="64"/>
      </top>
      <bottom/>
      <diagonal/>
    </border>
    <border>
      <left/>
      <right style="thin">
        <color indexed="64"/>
      </right>
      <top style="thin">
        <color indexed="64"/>
      </top>
      <bottom style="medium">
        <color indexed="64"/>
      </bottom>
      <diagonal/>
    </border>
    <border>
      <left style="medium">
        <color auto="1"/>
      </left>
      <right/>
      <top/>
      <bottom style="medium">
        <color auto="1"/>
      </bottom>
      <diagonal/>
    </border>
    <border>
      <left/>
      <right/>
      <top style="medium">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style="thin">
        <color indexed="64"/>
      </right>
      <top/>
      <bottom style="medium">
        <color indexed="64"/>
      </bottom>
      <diagonal/>
    </border>
    <border>
      <left/>
      <right/>
      <top/>
      <bottom style="medium">
        <color indexed="30"/>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right style="thin">
        <color theme="1"/>
      </right>
      <top/>
      <bottom style="thin">
        <color theme="1"/>
      </bottom>
      <diagonal/>
    </border>
    <border>
      <left style="medium">
        <color indexed="64"/>
      </left>
      <right style="thin">
        <color theme="1"/>
      </right>
      <top style="thin">
        <color theme="1"/>
      </top>
      <bottom style="thin">
        <color theme="1"/>
      </bottom>
      <diagonal/>
    </border>
    <border>
      <left/>
      <right style="thin">
        <color theme="1"/>
      </right>
      <top style="thin">
        <color theme="1"/>
      </top>
      <bottom style="thin">
        <color theme="1"/>
      </bottom>
      <diagonal/>
    </border>
    <border>
      <left style="medium">
        <color indexed="64"/>
      </left>
      <right style="thin">
        <color theme="1"/>
      </right>
      <top style="medium">
        <color theme="1"/>
      </top>
      <bottom style="medium">
        <color theme="1"/>
      </bottom>
      <diagonal/>
    </border>
    <border>
      <left style="medium">
        <color theme="1"/>
      </left>
      <right style="thin">
        <color theme="1"/>
      </right>
      <top style="medium">
        <color theme="1"/>
      </top>
      <bottom style="medium">
        <color theme="1"/>
      </bottom>
      <diagonal/>
    </border>
    <border>
      <left style="medium">
        <color theme="1"/>
      </left>
      <right/>
      <top style="medium">
        <color theme="1"/>
      </top>
      <bottom style="medium">
        <color theme="1"/>
      </bottom>
      <diagonal/>
    </border>
    <border>
      <left style="thin">
        <color theme="1"/>
      </left>
      <right/>
      <top style="medium">
        <color theme="1"/>
      </top>
      <bottom style="medium">
        <color theme="1"/>
      </bottom>
      <diagonal/>
    </border>
    <border>
      <left style="medium">
        <color indexed="64"/>
      </left>
      <right style="thin">
        <color theme="1"/>
      </right>
      <top style="medium">
        <color theme="1"/>
      </top>
      <bottom style="medium">
        <color indexed="64"/>
      </bottom>
      <diagonal/>
    </border>
    <border>
      <left style="thin">
        <color indexed="64"/>
      </left>
      <right style="medium">
        <color indexed="64"/>
      </right>
      <top style="medium">
        <color indexed="64"/>
      </top>
      <bottom/>
      <diagonal/>
    </border>
    <border diagonalUp="1">
      <left style="medium">
        <color indexed="64"/>
      </left>
      <right/>
      <top style="medium">
        <color indexed="64"/>
      </top>
      <bottom/>
      <diagonal style="thin">
        <color indexed="64"/>
      </diagonal>
    </border>
    <border diagonalUp="1">
      <left/>
      <right style="medium">
        <color indexed="64"/>
      </right>
      <top style="medium">
        <color indexed="64"/>
      </top>
      <bottom/>
      <diagonal style="thin">
        <color indexed="64"/>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theme="1"/>
      </left>
      <right style="thin">
        <color theme="1"/>
      </right>
      <top style="thin">
        <color theme="1"/>
      </top>
      <bottom style="thin">
        <color theme="1"/>
      </bottom>
      <diagonal/>
    </border>
    <border>
      <left style="medium">
        <color theme="1"/>
      </left>
      <right style="medium">
        <color theme="1"/>
      </right>
      <top style="thin">
        <color theme="1"/>
      </top>
      <bottom style="thin">
        <color theme="1"/>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thin">
        <color indexed="64"/>
      </top>
      <bottom style="hair">
        <color indexed="64"/>
      </bottom>
      <diagonal/>
    </border>
    <border>
      <left style="medium">
        <color indexed="64"/>
      </left>
      <right style="thin">
        <color theme="1"/>
      </right>
      <top/>
      <bottom style="medium">
        <color indexed="64"/>
      </bottom>
      <diagonal/>
    </border>
    <border>
      <left style="thin">
        <color theme="1"/>
      </left>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style="medium">
        <color theme="1"/>
      </left>
      <right/>
      <top/>
      <bottom style="thin">
        <color indexed="64"/>
      </bottom>
      <diagonal/>
    </border>
  </borders>
  <cellStyleXfs count="1171">
    <xf numFmtId="0" fontId="0" fillId="0" borderId="0"/>
    <xf numFmtId="0" fontId="14" fillId="2" borderId="0" applyNumberFormat="0" applyBorder="0" applyAlignment="0" applyProtection="0"/>
    <xf numFmtId="0" fontId="13" fillId="2" borderId="0" applyNumberFormat="0" applyBorder="0" applyAlignment="0" applyProtection="0"/>
    <xf numFmtId="0" fontId="14"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4"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4"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4"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4"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4"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4"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4"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4"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4"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4"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4"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43" fillId="12" borderId="0" applyNumberFormat="0" applyBorder="0" applyAlignment="0" applyProtection="0"/>
    <xf numFmtId="0" fontId="43" fillId="9" borderId="0" applyNumberFormat="0" applyBorder="0" applyAlignment="0" applyProtection="0"/>
    <xf numFmtId="0" fontId="43" fillId="10" borderId="0" applyNumberFormat="0" applyBorder="0" applyAlignment="0" applyProtection="0"/>
    <xf numFmtId="0" fontId="43" fillId="13" borderId="0" applyNumberFormat="0" applyBorder="0" applyAlignment="0" applyProtection="0"/>
    <xf numFmtId="0" fontId="43" fillId="14" borderId="0" applyNumberFormat="0" applyBorder="0" applyAlignment="0" applyProtection="0"/>
    <xf numFmtId="0" fontId="43" fillId="15" borderId="0" applyNumberFormat="0" applyBorder="0" applyAlignment="0" applyProtection="0"/>
    <xf numFmtId="0" fontId="43" fillId="16" borderId="0" applyNumberFormat="0" applyBorder="0" applyAlignment="0" applyProtection="0"/>
    <xf numFmtId="0" fontId="43" fillId="16" borderId="0" applyNumberFormat="0" applyBorder="0" applyAlignment="0" applyProtection="0"/>
    <xf numFmtId="0" fontId="43" fillId="17" borderId="0" applyNumberFormat="0" applyBorder="0" applyAlignment="0" applyProtection="0"/>
    <xf numFmtId="0" fontId="43" fillId="17" borderId="0" applyNumberFormat="0" applyBorder="0" applyAlignment="0" applyProtection="0"/>
    <xf numFmtId="0" fontId="43" fillId="18" borderId="0" applyNumberFormat="0" applyBorder="0" applyAlignment="0" applyProtection="0"/>
    <xf numFmtId="0" fontId="43" fillId="18" borderId="0" applyNumberFormat="0" applyBorder="0" applyAlignment="0" applyProtection="0"/>
    <xf numFmtId="0" fontId="43" fillId="13" borderId="0" applyNumberFormat="0" applyBorder="0" applyAlignment="0" applyProtection="0"/>
    <xf numFmtId="0" fontId="43" fillId="13" borderId="0" applyNumberFormat="0" applyBorder="0" applyAlignment="0" applyProtection="0"/>
    <xf numFmtId="0" fontId="43" fillId="14" borderId="0" applyNumberFormat="0" applyBorder="0" applyAlignment="0" applyProtection="0"/>
    <xf numFmtId="0" fontId="43" fillId="14" borderId="0" applyNumberFormat="0" applyBorder="0" applyAlignment="0" applyProtection="0"/>
    <xf numFmtId="0" fontId="43" fillId="19" borderId="0" applyNumberFormat="0" applyBorder="0" applyAlignment="0" applyProtection="0"/>
    <xf numFmtId="0" fontId="43" fillId="19" borderId="0" applyNumberFormat="0" applyBorder="0" applyAlignment="0" applyProtection="0"/>
    <xf numFmtId="0" fontId="36" fillId="20" borderId="1" applyNumberFormat="0" applyAlignment="0" applyProtection="0"/>
    <xf numFmtId="0" fontId="56" fillId="24" borderId="73" applyNumberFormat="0" applyAlignment="0" applyProtection="0"/>
    <xf numFmtId="0" fontId="36" fillId="20" borderId="1" applyNumberFormat="0" applyAlignment="0" applyProtection="0"/>
    <xf numFmtId="0" fontId="37" fillId="20" borderId="2" applyNumberFormat="0" applyAlignment="0" applyProtection="0"/>
    <xf numFmtId="0" fontId="37" fillId="20" borderId="2" applyNumberFormat="0" applyAlignment="0" applyProtection="0"/>
    <xf numFmtId="43" fontId="57" fillId="0" borderId="0" applyFont="0" applyFill="0" applyBorder="0" applyAlignment="0" applyProtection="0"/>
    <xf numFmtId="43" fontId="57" fillId="0" borderId="0" applyFont="0" applyFill="0" applyBorder="0" applyAlignment="0" applyProtection="0"/>
    <xf numFmtId="43" fontId="57" fillId="0" borderId="0" applyFont="0" applyFill="0" applyBorder="0" applyAlignment="0" applyProtection="0"/>
    <xf numFmtId="43" fontId="57" fillId="0" borderId="0" applyFont="0" applyFill="0" applyBorder="0" applyAlignment="0" applyProtection="0"/>
    <xf numFmtId="43" fontId="57" fillId="0" borderId="0" applyFont="0" applyFill="0" applyBorder="0" applyAlignment="0" applyProtection="0"/>
    <xf numFmtId="0" fontId="29" fillId="7" borderId="2" applyNumberFormat="0" applyAlignment="0" applyProtection="0"/>
    <xf numFmtId="0" fontId="58" fillId="25" borderId="74" applyNumberFormat="0" applyAlignment="0" applyProtection="0"/>
    <xf numFmtId="0" fontId="29" fillId="7" borderId="2" applyNumberFormat="0" applyAlignment="0" applyProtection="0"/>
    <xf numFmtId="0" fontId="29" fillId="7" borderId="2" applyNumberFormat="0" applyAlignment="0" applyProtection="0"/>
    <xf numFmtId="0" fontId="58" fillId="25" borderId="74" applyNumberFormat="0" applyAlignment="0" applyProtection="0"/>
    <xf numFmtId="0" fontId="58" fillId="25" borderId="74" applyNumberFormat="0" applyAlignment="0" applyProtection="0"/>
    <xf numFmtId="0" fontId="58" fillId="25" borderId="74" applyNumberFormat="0" applyAlignment="0" applyProtection="0"/>
    <xf numFmtId="0" fontId="58" fillId="25" borderId="74" applyNumberFormat="0" applyAlignment="0" applyProtection="0"/>
    <xf numFmtId="0" fontId="58" fillId="25" borderId="74" applyNumberFormat="0" applyAlignment="0" applyProtection="0"/>
    <xf numFmtId="0" fontId="58" fillId="25" borderId="74" applyNumberFormat="0" applyAlignment="0" applyProtection="0"/>
    <xf numFmtId="0" fontId="58" fillId="25" borderId="74" applyNumberFormat="0" applyAlignment="0" applyProtection="0"/>
    <xf numFmtId="0" fontId="42" fillId="0" borderId="3" applyNumberFormat="0" applyFill="0" applyAlignment="0" applyProtection="0"/>
    <xf numFmtId="0" fontId="42" fillId="0" borderId="3" applyNumberFormat="0" applyFill="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34" fillId="4" borderId="0" applyNumberFormat="0" applyBorder="0" applyAlignment="0" applyProtection="0"/>
    <xf numFmtId="0" fontId="34" fillId="4" borderId="0" applyNumberFormat="0" applyBorder="0" applyAlignment="0" applyProtection="0"/>
    <xf numFmtId="43" fontId="55" fillId="0" borderId="0" applyFont="0" applyFill="0" applyBorder="0" applyAlignment="0" applyProtection="0"/>
    <xf numFmtId="43" fontId="57" fillId="0" borderId="0" applyFont="0" applyFill="0" applyBorder="0" applyAlignment="0" applyProtection="0"/>
    <xf numFmtId="43" fontId="57" fillId="0" borderId="0" applyFont="0" applyFill="0" applyBorder="0" applyAlignment="0" applyProtection="0"/>
    <xf numFmtId="43" fontId="57" fillId="0" borderId="0" applyFont="0" applyFill="0" applyBorder="0" applyAlignment="0" applyProtection="0"/>
    <xf numFmtId="43" fontId="57" fillId="0" borderId="0" applyFont="0" applyFill="0" applyBorder="0" applyAlignment="0" applyProtection="0"/>
    <xf numFmtId="43" fontId="57" fillId="0" borderId="0" applyFont="0" applyFill="0" applyBorder="0" applyAlignment="0" applyProtection="0"/>
    <xf numFmtId="43" fontId="57"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0" fontId="15" fillId="21" borderId="4" applyNumberFormat="0" applyFont="0" applyAlignment="0" applyProtection="0"/>
    <xf numFmtId="0" fontId="15" fillId="21" borderId="4" applyNumberFormat="0" applyFont="0" applyAlignment="0" applyProtection="0"/>
    <xf numFmtId="9" fontId="57" fillId="0" borderId="0" applyFont="0" applyFill="0" applyBorder="0" applyAlignment="0" applyProtection="0"/>
    <xf numFmtId="9" fontId="57" fillId="0" borderId="0" applyFont="0" applyFill="0" applyBorder="0" applyAlignment="0" applyProtection="0"/>
    <xf numFmtId="9" fontId="57" fillId="0" borderId="0" applyFont="0" applyFill="0" applyBorder="0" applyAlignment="0" applyProtection="0"/>
    <xf numFmtId="9" fontId="57" fillId="0" borderId="0" applyFont="0" applyFill="0" applyBorder="0" applyAlignment="0" applyProtection="0"/>
    <xf numFmtId="9" fontId="57" fillId="0" borderId="0" applyFont="0" applyFill="0" applyBorder="0" applyAlignment="0" applyProtection="0"/>
    <xf numFmtId="9" fontId="57" fillId="0" borderId="0" applyFont="0" applyFill="0" applyBorder="0" applyAlignment="0" applyProtection="0"/>
    <xf numFmtId="9" fontId="57" fillId="0" borderId="0" applyFont="0" applyFill="0" applyBorder="0" applyAlignment="0" applyProtection="0"/>
    <xf numFmtId="9" fontId="15" fillId="0" borderId="0" applyFont="0" applyFill="0" applyBorder="0" applyAlignment="0" applyProtection="0"/>
    <xf numFmtId="0" fontId="35" fillId="2" borderId="0" applyNumberFormat="0" applyBorder="0" applyAlignment="0" applyProtection="0"/>
    <xf numFmtId="0" fontId="35" fillId="2" borderId="0" applyNumberFormat="0" applyBorder="0" applyAlignment="0" applyProtection="0"/>
    <xf numFmtId="0" fontId="15" fillId="0" borderId="0"/>
    <xf numFmtId="0" fontId="57" fillId="0" borderId="0"/>
    <xf numFmtId="0" fontId="57" fillId="0" borderId="0"/>
    <xf numFmtId="0" fontId="57" fillId="0" borderId="0"/>
    <xf numFmtId="0" fontId="57" fillId="0" borderId="0"/>
    <xf numFmtId="0" fontId="57" fillId="0" borderId="0"/>
    <xf numFmtId="0" fontId="57" fillId="0" borderId="0"/>
    <xf numFmtId="0" fontId="57" fillId="0" borderId="0"/>
    <xf numFmtId="0" fontId="57" fillId="0" borderId="0"/>
    <xf numFmtId="0" fontId="57" fillId="0" borderId="0"/>
    <xf numFmtId="0" fontId="57" fillId="0" borderId="0"/>
    <xf numFmtId="0" fontId="57" fillId="0" borderId="0"/>
    <xf numFmtId="0" fontId="57" fillId="0" borderId="0"/>
    <xf numFmtId="0" fontId="57" fillId="0" borderId="0"/>
    <xf numFmtId="0" fontId="57" fillId="0" borderId="0"/>
    <xf numFmtId="0" fontId="57" fillId="0" borderId="0"/>
    <xf numFmtId="0" fontId="57" fillId="0" borderId="0"/>
    <xf numFmtId="0" fontId="57" fillId="0" borderId="0"/>
    <xf numFmtId="0" fontId="57" fillId="0" borderId="0"/>
    <xf numFmtId="0" fontId="57" fillId="0" borderId="0"/>
    <xf numFmtId="0" fontId="57" fillId="0" borderId="0"/>
    <xf numFmtId="0" fontId="57" fillId="0" borderId="0"/>
    <xf numFmtId="0" fontId="30" fillId="0" borderId="0" applyNumberFormat="0" applyFill="0" applyBorder="0" applyAlignment="0" applyProtection="0"/>
    <xf numFmtId="0" fontId="31" fillId="0" borderId="5" applyNumberFormat="0" applyFill="0" applyAlignment="0" applyProtection="0"/>
    <xf numFmtId="0" fontId="31" fillId="0" borderId="5" applyNumberFormat="0" applyFill="0" applyAlignment="0" applyProtection="0"/>
    <xf numFmtId="0" fontId="32" fillId="0" borderId="6" applyNumberFormat="0" applyFill="0" applyAlignment="0" applyProtection="0"/>
    <xf numFmtId="0" fontId="32" fillId="0" borderId="6" applyNumberFormat="0" applyFill="0" applyAlignment="0" applyProtection="0"/>
    <xf numFmtId="0" fontId="33" fillId="0" borderId="7" applyNumberFormat="0" applyFill="0" applyAlignment="0" applyProtection="0"/>
    <xf numFmtId="0" fontId="33" fillId="0" borderId="7" applyNumberFormat="0" applyFill="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0" fillId="0" borderId="0" applyNumberFormat="0" applyFill="0" applyBorder="0" applyAlignment="0" applyProtection="0"/>
    <xf numFmtId="0" fontId="38" fillId="0" borderId="8" applyNumberFormat="0" applyFill="0" applyAlignment="0" applyProtection="0"/>
    <xf numFmtId="0" fontId="38" fillId="0" borderId="8" applyNumberFormat="0" applyFill="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39" fillId="22" borderId="9" applyNumberFormat="0" applyAlignment="0" applyProtection="0"/>
    <xf numFmtId="0" fontId="39" fillId="22" borderId="9" applyNumberFormat="0" applyAlignment="0" applyProtection="0"/>
    <xf numFmtId="0" fontId="12" fillId="0" borderId="0"/>
    <xf numFmtId="0" fontId="13" fillId="2" borderId="0" applyNumberFormat="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7" fillId="0" borderId="0"/>
    <xf numFmtId="0" fontId="15" fillId="0" borderId="0"/>
    <xf numFmtId="0" fontId="43" fillId="16" borderId="0" applyNumberFormat="0" applyBorder="0" applyAlignment="0" applyProtection="0"/>
    <xf numFmtId="0" fontId="43" fillId="17" borderId="0" applyNumberFormat="0" applyBorder="0" applyAlignment="0" applyProtection="0"/>
    <xf numFmtId="0" fontId="43" fillId="18" borderId="0" applyNumberFormat="0" applyBorder="0" applyAlignment="0" applyProtection="0"/>
    <xf numFmtId="0" fontId="43" fillId="13" borderId="0" applyNumberFormat="0" applyBorder="0" applyAlignment="0" applyProtection="0"/>
    <xf numFmtId="0" fontId="43" fillId="14" borderId="0" applyNumberFormat="0" applyBorder="0" applyAlignment="0" applyProtection="0"/>
    <xf numFmtId="0" fontId="43" fillId="19" borderId="0" applyNumberFormat="0" applyBorder="0" applyAlignment="0" applyProtection="0"/>
    <xf numFmtId="0" fontId="36" fillId="20" borderId="1" applyNumberFormat="0" applyAlignment="0" applyProtection="0"/>
    <xf numFmtId="0" fontId="37" fillId="20" borderId="2" applyNumberFormat="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0" fontId="29" fillId="7" borderId="2" applyNumberFormat="0" applyAlignment="0" applyProtection="0"/>
    <xf numFmtId="0" fontId="42" fillId="0" borderId="3" applyNumberFormat="0" applyFill="0" applyAlignment="0" applyProtection="0"/>
    <xf numFmtId="0" fontId="41" fillId="0" borderId="0" applyNumberFormat="0" applyFill="0" applyBorder="0" applyAlignment="0" applyProtection="0"/>
    <xf numFmtId="0" fontId="34" fillId="4" borderId="0" applyNumberFormat="0" applyBorder="0" applyAlignment="0" applyProtection="0"/>
    <xf numFmtId="43" fontId="15"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0" fontId="15" fillId="21" borderId="4" applyNumberFormat="0" applyFont="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0" fontId="35" fillId="2" borderId="0" applyNumberFormat="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30" fillId="0" borderId="0" applyNumberFormat="0" applyFill="0" applyBorder="0" applyAlignment="0" applyProtection="0"/>
    <xf numFmtId="0" fontId="31" fillId="0" borderId="5" applyNumberFormat="0" applyFill="0" applyAlignment="0" applyProtection="0"/>
    <xf numFmtId="0" fontId="32" fillId="0" borderId="6" applyNumberFormat="0" applyFill="0" applyAlignment="0" applyProtection="0"/>
    <xf numFmtId="0" fontId="33" fillId="0" borderId="7" applyNumberFormat="0" applyFill="0" applyAlignment="0" applyProtection="0"/>
    <xf numFmtId="0" fontId="33" fillId="0" borderId="0" applyNumberFormat="0" applyFill="0" applyBorder="0" applyAlignment="0" applyProtection="0"/>
    <xf numFmtId="0" fontId="38" fillId="0" borderId="8" applyNumberFormat="0" applyFill="0" applyAlignment="0" applyProtection="0"/>
    <xf numFmtId="0" fontId="40" fillId="0" borderId="0" applyNumberFormat="0" applyFill="0" applyBorder="0" applyAlignment="0" applyProtection="0"/>
    <xf numFmtId="0" fontId="39" fillId="22" borderId="9" applyNumberFormat="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15"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15"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33" fillId="0" borderId="107" applyNumberFormat="0" applyFill="0" applyAlignment="0" applyProtection="0"/>
    <xf numFmtId="0" fontId="33" fillId="0" borderId="107" applyNumberFormat="0" applyFill="0" applyAlignment="0" applyProtection="0"/>
    <xf numFmtId="0" fontId="60" fillId="0" borderId="0"/>
    <xf numFmtId="0" fontId="29" fillId="38" borderId="2" applyNumberFormat="0"/>
    <xf numFmtId="0" fontId="5" fillId="0" borderId="0"/>
    <xf numFmtId="0" fontId="5" fillId="0" borderId="0"/>
    <xf numFmtId="0" fontId="5" fillId="0" borderId="0"/>
    <xf numFmtId="0" fontId="5" fillId="0" borderId="0"/>
    <xf numFmtId="0" fontId="5" fillId="0" borderId="0"/>
    <xf numFmtId="0" fontId="4" fillId="0" borderId="0"/>
    <xf numFmtId="0" fontId="58" fillId="38" borderId="74" applyNumberFormat="0"/>
    <xf numFmtId="0" fontId="85" fillId="40" borderId="0" applyNumberFormat="0" applyBorder="0"/>
    <xf numFmtId="0" fontId="4" fillId="0" borderId="0"/>
    <xf numFmtId="0" fontId="4" fillId="0" borderId="0"/>
    <xf numFmtId="0" fontId="15" fillId="0" borderId="0"/>
    <xf numFmtId="0" fontId="29" fillId="7" borderId="2" applyNumberFormat="0" applyAlignment="0" applyProtection="0"/>
    <xf numFmtId="0" fontId="99" fillId="0" borderId="0" applyNumberFormat="0" applyFill="0" applyBorder="0">
      <alignment vertical="top"/>
    </xf>
    <xf numFmtId="9" fontId="60" fillId="0" borderId="0" applyFont="0" applyFill="0" applyBorder="0" applyAlignment="0" applyProtection="0"/>
    <xf numFmtId="0" fontId="102" fillId="0" borderId="0"/>
    <xf numFmtId="0" fontId="3" fillId="0" borderId="0"/>
    <xf numFmtId="0" fontId="2" fillId="0" borderId="0"/>
    <xf numFmtId="0" fontId="15" fillId="0" borderId="0"/>
    <xf numFmtId="0" fontId="44" fillId="0" borderId="0" applyNumberFormat="0" applyFill="0" applyBorder="0" applyAlignment="0" applyProtection="0">
      <alignment vertical="top"/>
      <protection locked="0"/>
    </xf>
    <xf numFmtId="0" fontId="15" fillId="0" borderId="0"/>
    <xf numFmtId="0" fontId="29" fillId="38" borderId="2" applyNumberFormat="0"/>
    <xf numFmtId="0" fontId="29" fillId="7" borderId="2" applyNumberFormat="0" applyAlignment="0" applyProtection="0"/>
    <xf numFmtId="0" fontId="1" fillId="0" borderId="0"/>
    <xf numFmtId="0" fontId="1" fillId="0" borderId="0"/>
    <xf numFmtId="0" fontId="1" fillId="0" borderId="0"/>
    <xf numFmtId="0" fontId="1" fillId="0" borderId="0"/>
  </cellStyleXfs>
  <cellXfs count="1485">
    <xf numFmtId="0" fontId="0" fillId="0" borderId="0" xfId="0"/>
    <xf numFmtId="0" fontId="15" fillId="0" borderId="47" xfId="0" applyFont="1" applyBorder="1" applyAlignment="1" applyProtection="1">
      <alignment vertical="center"/>
      <protection locked="0"/>
    </xf>
    <xf numFmtId="0" fontId="47" fillId="0" borderId="47" xfId="0" applyFont="1" applyBorder="1" applyAlignment="1" applyProtection="1">
      <alignment vertical="center"/>
      <protection locked="0"/>
    </xf>
    <xf numFmtId="0" fontId="16" fillId="0" borderId="47" xfId="0" applyFont="1" applyBorder="1" applyAlignment="1" applyProtection="1">
      <alignment vertical="center"/>
      <protection locked="0"/>
    </xf>
    <xf numFmtId="0" fontId="0" fillId="0" borderId="47" xfId="0" applyBorder="1" applyAlignment="1" applyProtection="1">
      <alignment vertical="center"/>
      <protection locked="0"/>
    </xf>
    <xf numFmtId="0" fontId="47" fillId="0" borderId="47" xfId="0" applyFont="1" applyBorder="1" applyAlignment="1" applyProtection="1">
      <alignment horizontal="center" vertical="center"/>
      <protection locked="0"/>
    </xf>
    <xf numFmtId="0" fontId="15" fillId="0" borderId="47" xfId="0" applyFont="1" applyBorder="1" applyAlignment="1" applyProtection="1">
      <alignment vertical="center" wrapText="1"/>
      <protection locked="0"/>
    </xf>
    <xf numFmtId="1" fontId="20" fillId="26" borderId="45" xfId="0" applyNumberFormat="1" applyFont="1" applyFill="1" applyBorder="1" applyAlignment="1">
      <alignment horizontal="center" vertical="center" wrapText="1"/>
    </xf>
    <xf numFmtId="1" fontId="21" fillId="29" borderId="28" xfId="0" applyNumberFormat="1" applyFont="1" applyFill="1" applyBorder="1" applyAlignment="1" applyProtection="1">
      <alignment horizontal="center" vertical="center" wrapText="1"/>
      <protection locked="0"/>
    </xf>
    <xf numFmtId="1" fontId="21" fillId="29" borderId="52" xfId="0" applyNumberFormat="1" applyFont="1" applyFill="1" applyBorder="1" applyAlignment="1" applyProtection="1">
      <alignment horizontal="center" vertical="center" wrapText="1"/>
      <protection locked="0"/>
    </xf>
    <xf numFmtId="0" fontId="15" fillId="0" borderId="0" xfId="0" applyFont="1" applyAlignment="1">
      <alignment vertical="center"/>
    </xf>
    <xf numFmtId="0" fontId="47" fillId="0" borderId="0" xfId="0" applyFont="1" applyAlignment="1" applyProtection="1">
      <alignment horizontal="center" vertical="center"/>
      <protection locked="0"/>
    </xf>
    <xf numFmtId="0" fontId="15" fillId="0" borderId="0" xfId="0" applyFont="1" applyAlignment="1" applyProtection="1">
      <alignment vertical="center" wrapText="1"/>
      <protection locked="0"/>
    </xf>
    <xf numFmtId="0" fontId="15" fillId="0" borderId="0" xfId="0" applyFont="1" applyAlignment="1" applyProtection="1">
      <alignment vertical="center"/>
      <protection locked="0"/>
    </xf>
    <xf numFmtId="0" fontId="47" fillId="0" borderId="0" xfId="0" applyFont="1" applyAlignment="1" applyProtection="1">
      <alignment vertical="center"/>
      <protection locked="0"/>
    </xf>
    <xf numFmtId="0" fontId="16" fillId="0" borderId="0" xfId="0" applyFont="1" applyAlignment="1" applyProtection="1">
      <alignment vertical="center"/>
      <protection locked="0"/>
    </xf>
    <xf numFmtId="0" fontId="0" fillId="0" borderId="0" xfId="0" applyAlignment="1" applyProtection="1">
      <alignment vertical="center"/>
      <protection locked="0"/>
    </xf>
    <xf numFmtId="0" fontId="0" fillId="0" borderId="0" xfId="0" applyAlignment="1">
      <alignment vertical="center"/>
    </xf>
    <xf numFmtId="0" fontId="15" fillId="0" borderId="53" xfId="0" applyFont="1" applyBorder="1" applyAlignment="1" applyProtection="1">
      <alignment vertical="center" wrapText="1"/>
      <protection locked="0"/>
    </xf>
    <xf numFmtId="0" fontId="15" fillId="0" borderId="53" xfId="0" applyFont="1" applyBorder="1" applyAlignment="1" applyProtection="1">
      <alignment vertical="center"/>
      <protection locked="0"/>
    </xf>
    <xf numFmtId="0" fontId="47" fillId="0" borderId="53" xfId="0" applyFont="1" applyBorder="1" applyAlignment="1" applyProtection="1">
      <alignment vertical="center"/>
      <protection locked="0"/>
    </xf>
    <xf numFmtId="0" fontId="16" fillId="0" borderId="53" xfId="0" applyFont="1" applyBorder="1" applyAlignment="1" applyProtection="1">
      <alignment vertical="center"/>
      <protection locked="0"/>
    </xf>
    <xf numFmtId="0" fontId="0" fillId="0" borderId="53" xfId="0" applyBorder="1" applyAlignment="1" applyProtection="1">
      <alignment vertical="center"/>
      <protection locked="0"/>
    </xf>
    <xf numFmtId="0" fontId="0" fillId="0" borderId="0" xfId="0" applyAlignment="1" applyProtection="1">
      <alignment horizontal="center" vertical="center"/>
      <protection locked="0"/>
    </xf>
    <xf numFmtId="164" fontId="0" fillId="0" borderId="0" xfId="0" applyNumberFormat="1" applyAlignment="1" applyProtection="1">
      <alignment horizontal="center" vertical="center"/>
      <protection locked="0"/>
    </xf>
    <xf numFmtId="0" fontId="0" fillId="0" borderId="0" xfId="0" applyAlignment="1" applyProtection="1">
      <alignment vertical="center" wrapText="1"/>
      <protection locked="0"/>
    </xf>
    <xf numFmtId="14" fontId="0" fillId="0" borderId="0" xfId="0" applyNumberFormat="1" applyAlignment="1" applyProtection="1">
      <alignment textRotation="90" wrapText="1"/>
      <protection locked="0"/>
    </xf>
    <xf numFmtId="0" fontId="0" fillId="0" borderId="0" xfId="0" applyAlignment="1" applyProtection="1">
      <alignment horizontal="left" vertical="center"/>
      <protection locked="0"/>
    </xf>
    <xf numFmtId="0" fontId="46" fillId="0" borderId="40" xfId="0" applyFont="1" applyBorder="1" applyAlignment="1" applyProtection="1">
      <alignment vertical="center" wrapText="1"/>
      <protection locked="0"/>
    </xf>
    <xf numFmtId="14" fontId="46" fillId="0" borderId="54" xfId="0" applyNumberFormat="1" applyFont="1" applyBorder="1" applyAlignment="1" applyProtection="1">
      <alignment vertical="center"/>
      <protection locked="0"/>
    </xf>
    <xf numFmtId="0" fontId="46" fillId="0" borderId="0" xfId="0" applyFont="1" applyAlignment="1" applyProtection="1">
      <alignment vertical="center"/>
      <protection locked="0"/>
    </xf>
    <xf numFmtId="0" fontId="0" fillId="0" borderId="55" xfId="0" applyBorder="1" applyAlignment="1" applyProtection="1">
      <alignment vertical="center" wrapText="1"/>
      <protection locked="0"/>
    </xf>
    <xf numFmtId="0" fontId="19" fillId="0" borderId="10" xfId="0" applyFont="1" applyBorder="1" applyAlignment="1" applyProtection="1">
      <alignment horizontal="center" vertical="center" wrapText="1"/>
      <protection locked="0"/>
    </xf>
    <xf numFmtId="0" fontId="19" fillId="0" borderId="57" xfId="0" applyFont="1" applyBorder="1" applyAlignment="1" applyProtection="1">
      <alignment horizontal="center" vertical="center" wrapText="1"/>
      <protection locked="0"/>
    </xf>
    <xf numFmtId="0" fontId="47" fillId="0" borderId="0" xfId="0" applyFont="1" applyAlignment="1" applyProtection="1">
      <alignment horizontal="center" vertical="center" wrapText="1"/>
      <protection locked="0"/>
    </xf>
    <xf numFmtId="164" fontId="15" fillId="0" borderId="15" xfId="0" applyNumberFormat="1" applyFont="1" applyBorder="1" applyAlignment="1" applyProtection="1">
      <alignment horizontal="center" vertical="center"/>
      <protection locked="0"/>
    </xf>
    <xf numFmtId="1" fontId="46" fillId="31" borderId="58" xfId="106" applyNumberFormat="1" applyFont="1" applyFill="1" applyBorder="1" applyAlignment="1" applyProtection="1">
      <alignment horizontal="center" vertical="center"/>
      <protection locked="0"/>
    </xf>
    <xf numFmtId="1" fontId="46" fillId="31" borderId="59" xfId="106" applyNumberFormat="1" applyFont="1" applyFill="1" applyBorder="1" applyAlignment="1" applyProtection="1">
      <alignment horizontal="center" vertical="center"/>
      <protection locked="0"/>
    </xf>
    <xf numFmtId="1" fontId="20" fillId="26" borderId="45" xfId="0" applyNumberFormat="1" applyFont="1" applyFill="1" applyBorder="1" applyAlignment="1" applyProtection="1">
      <alignment horizontal="center" vertical="center" wrapText="1"/>
      <protection locked="0"/>
    </xf>
    <xf numFmtId="0" fontId="15" fillId="0" borderId="15" xfId="0" applyFont="1" applyBorder="1" applyAlignment="1" applyProtection="1">
      <alignment vertical="center" wrapText="1"/>
      <protection locked="0"/>
    </xf>
    <xf numFmtId="1" fontId="21" fillId="26" borderId="45" xfId="0" applyNumberFormat="1" applyFont="1" applyFill="1" applyBorder="1" applyAlignment="1" applyProtection="1">
      <alignment horizontal="center" vertical="center" wrapText="1"/>
      <protection locked="0"/>
    </xf>
    <xf numFmtId="1" fontId="21" fillId="26" borderId="26" xfId="0" applyNumberFormat="1" applyFont="1" applyFill="1" applyBorder="1" applyAlignment="1" applyProtection="1">
      <alignment horizontal="center" vertical="center" wrapText="1"/>
      <protection locked="0"/>
    </xf>
    <xf numFmtId="0" fontId="47" fillId="0" borderId="0" xfId="0" applyFont="1" applyAlignment="1" applyProtection="1">
      <alignment vertical="center" wrapText="1"/>
      <protection locked="0"/>
    </xf>
    <xf numFmtId="0" fontId="47" fillId="0" borderId="15" xfId="0" applyFont="1" applyBorder="1" applyAlignment="1" applyProtection="1">
      <alignment vertical="center" wrapText="1"/>
      <protection locked="0"/>
    </xf>
    <xf numFmtId="1" fontId="48" fillId="32" borderId="59" xfId="0" applyNumberFormat="1" applyFont="1" applyFill="1" applyBorder="1" applyAlignment="1" applyProtection="1">
      <alignment horizontal="center" vertical="center" wrapText="1"/>
      <protection locked="0"/>
    </xf>
    <xf numFmtId="0" fontId="16" fillId="0" borderId="0" xfId="0" applyFont="1" applyAlignment="1" applyProtection="1">
      <alignment vertical="center" wrapText="1"/>
      <protection locked="0"/>
    </xf>
    <xf numFmtId="0" fontId="16" fillId="0" borderId="15" xfId="0" applyFont="1" applyBorder="1" applyAlignment="1" applyProtection="1">
      <alignment vertical="center" wrapText="1"/>
      <protection locked="0"/>
    </xf>
    <xf numFmtId="0" fontId="0" fillId="0" borderId="15" xfId="0" applyBorder="1" applyAlignment="1" applyProtection="1">
      <alignment vertical="center" wrapText="1"/>
      <protection locked="0"/>
    </xf>
    <xf numFmtId="1" fontId="48" fillId="33" borderId="59" xfId="0" applyNumberFormat="1" applyFont="1" applyFill="1" applyBorder="1" applyAlignment="1" applyProtection="1">
      <alignment horizontal="center" vertical="center" wrapText="1"/>
      <protection locked="0"/>
    </xf>
    <xf numFmtId="1" fontId="21" fillId="30" borderId="46" xfId="0" applyNumberFormat="1" applyFont="1" applyFill="1" applyBorder="1" applyAlignment="1" applyProtection="1">
      <alignment horizontal="center" vertical="center" wrapText="1"/>
      <protection locked="0"/>
    </xf>
    <xf numFmtId="1" fontId="48" fillId="23" borderId="59" xfId="0" applyNumberFormat="1" applyFont="1" applyFill="1" applyBorder="1" applyAlignment="1" applyProtection="1">
      <alignment horizontal="center" vertical="center" wrapText="1"/>
      <protection locked="0"/>
    </xf>
    <xf numFmtId="1" fontId="21" fillId="0" borderId="0" xfId="0" applyNumberFormat="1" applyFont="1" applyAlignment="1" applyProtection="1">
      <alignment horizontal="center" vertical="center" wrapText="1"/>
      <protection locked="0"/>
    </xf>
    <xf numFmtId="1" fontId="21" fillId="0" borderId="15" xfId="0" applyNumberFormat="1" applyFont="1" applyBorder="1" applyAlignment="1" applyProtection="1">
      <alignment horizontal="center" vertical="center" wrapText="1"/>
      <protection locked="0"/>
    </xf>
    <xf numFmtId="0" fontId="20" fillId="27" borderId="46" xfId="0" applyFont="1" applyFill="1" applyBorder="1" applyAlignment="1" applyProtection="1">
      <alignment horizontal="center" vertical="center" wrapText="1"/>
      <protection locked="0"/>
    </xf>
    <xf numFmtId="3" fontId="20" fillId="0" borderId="12" xfId="0" applyNumberFormat="1" applyFont="1" applyBorder="1" applyAlignment="1" applyProtection="1">
      <alignment horizontal="center" vertical="center"/>
      <protection locked="0"/>
    </xf>
    <xf numFmtId="0" fontId="0" fillId="0" borderId="22" xfId="0" applyBorder="1" applyAlignment="1" applyProtection="1">
      <alignment vertical="center"/>
      <protection locked="0"/>
    </xf>
    <xf numFmtId="0" fontId="26" fillId="0" borderId="0" xfId="0" applyFont="1" applyAlignment="1" applyProtection="1">
      <alignment vertical="center" wrapText="1"/>
      <protection locked="0"/>
    </xf>
    <xf numFmtId="0" fontId="15" fillId="0" borderId="0" xfId="0" applyFont="1" applyAlignment="1" applyProtection="1">
      <alignment horizontal="center" vertical="center"/>
      <protection locked="0"/>
    </xf>
    <xf numFmtId="0" fontId="0" fillId="0" borderId="0" xfId="0" applyAlignment="1">
      <alignment horizontal="center" vertical="center"/>
    </xf>
    <xf numFmtId="164" fontId="0" fillId="0" borderId="0" xfId="0" applyNumberFormat="1" applyAlignment="1">
      <alignment horizontal="center" vertical="center"/>
    </xf>
    <xf numFmtId="0" fontId="0" fillId="0" borderId="0" xfId="0" applyAlignment="1">
      <alignment vertical="center" wrapText="1"/>
    </xf>
    <xf numFmtId="0" fontId="23" fillId="0" borderId="0" xfId="0" applyFont="1" applyAlignment="1">
      <alignment horizontal="center" vertical="center"/>
    </xf>
    <xf numFmtId="0" fontId="19" fillId="0" borderId="62" xfId="0" applyFont="1" applyBorder="1" applyAlignment="1">
      <alignment horizontal="center" vertical="center" wrapText="1"/>
    </xf>
    <xf numFmtId="0" fontId="47" fillId="0" borderId="0" xfId="0" applyFont="1" applyAlignment="1">
      <alignment horizontal="center" vertical="center"/>
    </xf>
    <xf numFmtId="0" fontId="47" fillId="0" borderId="0" xfId="0" applyFont="1" applyAlignment="1">
      <alignment horizontal="center" vertical="center" wrapText="1"/>
    </xf>
    <xf numFmtId="0" fontId="19" fillId="0" borderId="18" xfId="0" applyFont="1" applyBorder="1" applyAlignment="1">
      <alignment horizontal="center" vertical="center"/>
    </xf>
    <xf numFmtId="0" fontId="15" fillId="0" borderId="0" xfId="0" applyFont="1" applyAlignment="1">
      <alignment vertical="center" wrapText="1"/>
    </xf>
    <xf numFmtId="0" fontId="17" fillId="0" borderId="0" xfId="0" applyFont="1" applyAlignment="1">
      <alignment horizontal="left" vertical="center" wrapText="1"/>
    </xf>
    <xf numFmtId="0" fontId="17" fillId="0" borderId="0" xfId="0" applyFont="1" applyAlignment="1">
      <alignment vertical="center" wrapText="1"/>
    </xf>
    <xf numFmtId="0" fontId="17" fillId="0" borderId="0" xfId="0" applyFont="1" applyAlignment="1">
      <alignment horizontal="center" vertical="center" wrapText="1"/>
    </xf>
    <xf numFmtId="0" fontId="15" fillId="0" borderId="0" xfId="0" applyFont="1" applyAlignment="1">
      <alignment horizontal="center" vertical="center" wrapText="1"/>
    </xf>
    <xf numFmtId="0" fontId="47" fillId="0" borderId="0" xfId="0" applyFont="1" applyAlignment="1">
      <alignment vertical="center"/>
    </xf>
    <xf numFmtId="0" fontId="47" fillId="0" borderId="0" xfId="0" applyFont="1" applyAlignment="1">
      <alignment vertical="center" wrapText="1"/>
    </xf>
    <xf numFmtId="0" fontId="16" fillId="0" borderId="0" xfId="0" applyFont="1" applyAlignment="1">
      <alignment vertical="center"/>
    </xf>
    <xf numFmtId="0" fontId="16" fillId="0" borderId="0" xfId="0" applyFont="1" applyAlignment="1">
      <alignment vertical="center" wrapText="1"/>
    </xf>
    <xf numFmtId="0" fontId="19" fillId="0" borderId="10" xfId="0" applyFont="1" applyBorder="1" applyAlignment="1">
      <alignment horizontal="center" vertical="center" wrapText="1"/>
    </xf>
    <xf numFmtId="0" fontId="22" fillId="0" borderId="0" xfId="0" applyFont="1" applyAlignment="1">
      <alignment horizontal="center" vertical="center" wrapText="1"/>
    </xf>
    <xf numFmtId="0" fontId="46" fillId="33" borderId="64" xfId="0" applyFont="1" applyFill="1" applyBorder="1" applyAlignment="1">
      <alignment horizontal="center" vertical="center"/>
    </xf>
    <xf numFmtId="164" fontId="46" fillId="33" borderId="65" xfId="0" applyNumberFormat="1" applyFont="1" applyFill="1" applyBorder="1" applyAlignment="1">
      <alignment horizontal="center" vertical="center"/>
    </xf>
    <xf numFmtId="1" fontId="21" fillId="0" borderId="0" xfId="0" applyNumberFormat="1" applyFont="1" applyAlignment="1">
      <alignment horizontal="center" vertical="center" wrapText="1"/>
    </xf>
    <xf numFmtId="164" fontId="24" fillId="0" borderId="0" xfId="0" applyNumberFormat="1" applyFont="1" applyAlignment="1">
      <alignment horizontal="center" vertical="center"/>
    </xf>
    <xf numFmtId="0" fontId="19" fillId="0" borderId="61" xfId="0" applyFont="1" applyBorder="1" applyAlignment="1">
      <alignment horizontal="center" vertical="center" wrapText="1"/>
    </xf>
    <xf numFmtId="166" fontId="19" fillId="0" borderId="10" xfId="85" applyNumberFormat="1" applyFont="1" applyBorder="1" applyAlignment="1" applyProtection="1">
      <alignment horizontal="center" vertical="center" wrapText="1"/>
    </xf>
    <xf numFmtId="0" fontId="66" fillId="0" borderId="0" xfId="0" applyFont="1" applyAlignment="1">
      <alignment vertical="center"/>
    </xf>
    <xf numFmtId="0" fontId="54" fillId="0" borderId="0" xfId="0" applyFont="1" applyAlignment="1">
      <alignment vertical="center" wrapText="1"/>
    </xf>
    <xf numFmtId="0" fontId="66" fillId="0" borderId="0" xfId="0" applyFont="1" applyAlignment="1">
      <alignment vertical="center" wrapText="1"/>
    </xf>
    <xf numFmtId="0" fontId="66" fillId="0" borderId="0" xfId="0" applyFont="1" applyAlignment="1" applyProtection="1">
      <alignment vertical="center" wrapText="1"/>
      <protection locked="0"/>
    </xf>
    <xf numFmtId="0" fontId="54" fillId="0" borderId="0" xfId="0" applyFont="1" applyAlignment="1" applyProtection="1">
      <alignment vertical="center" wrapText="1"/>
      <protection locked="0"/>
    </xf>
    <xf numFmtId="14" fontId="54" fillId="0" borderId="0" xfId="0" applyNumberFormat="1" applyFont="1" applyAlignment="1" applyProtection="1">
      <alignment vertical="center"/>
      <protection locked="0"/>
    </xf>
    <xf numFmtId="0" fontId="54" fillId="0" borderId="0" xfId="0" applyFont="1" applyAlignment="1" applyProtection="1">
      <alignment vertical="center"/>
      <protection locked="0"/>
    </xf>
    <xf numFmtId="0" fontId="66" fillId="0" borderId="0" xfId="0" applyFont="1" applyAlignment="1" applyProtection="1">
      <alignment vertical="center"/>
      <protection locked="0"/>
    </xf>
    <xf numFmtId="164" fontId="49" fillId="0" borderId="0" xfId="0" applyNumberFormat="1" applyFont="1" applyAlignment="1">
      <alignment horizontal="center" vertical="center"/>
    </xf>
    <xf numFmtId="0" fontId="67" fillId="0" borderId="0" xfId="0" applyFont="1" applyAlignment="1">
      <alignment horizontal="left" vertical="center"/>
    </xf>
    <xf numFmtId="0" fontId="19" fillId="0" borderId="32" xfId="0" applyFont="1" applyBorder="1" applyAlignment="1">
      <alignment horizontal="center" vertical="center" wrapText="1"/>
    </xf>
    <xf numFmtId="166" fontId="19" fillId="0" borderId="39" xfId="85" applyNumberFormat="1" applyFont="1" applyBorder="1" applyAlignment="1" applyProtection="1">
      <alignment horizontal="center" vertical="center" wrapText="1"/>
    </xf>
    <xf numFmtId="1" fontId="20" fillId="26" borderId="23" xfId="0" applyNumberFormat="1" applyFont="1" applyFill="1" applyBorder="1" applyAlignment="1">
      <alignment horizontal="center" vertical="center" wrapText="1"/>
    </xf>
    <xf numFmtId="0" fontId="15" fillId="29" borderId="10" xfId="72" applyFont="1" applyFill="1" applyBorder="1" applyAlignment="1" applyProtection="1">
      <alignment horizontal="center" vertical="center"/>
      <protection locked="0"/>
    </xf>
    <xf numFmtId="0" fontId="15" fillId="0" borderId="15" xfId="0" applyFont="1" applyBorder="1" applyAlignment="1" applyProtection="1">
      <alignment vertical="center"/>
      <protection locked="0"/>
    </xf>
    <xf numFmtId="0" fontId="47" fillId="0" borderId="21" xfId="0" applyFont="1" applyBorder="1" applyAlignment="1">
      <alignment horizontal="center" vertical="center" wrapText="1"/>
    </xf>
    <xf numFmtId="0" fontId="15" fillId="0" borderId="21" xfId="0" applyFont="1" applyBorder="1" applyAlignment="1">
      <alignment vertical="center"/>
    </xf>
    <xf numFmtId="1" fontId="46" fillId="31" borderId="59" xfId="106" applyNumberFormat="1" applyFont="1" applyFill="1" applyBorder="1" applyAlignment="1">
      <alignment horizontal="center" vertical="center"/>
    </xf>
    <xf numFmtId="1" fontId="46" fillId="31" borderId="72" xfId="106" applyNumberFormat="1" applyFont="1" applyFill="1" applyBorder="1" applyAlignment="1">
      <alignment horizontal="center" vertical="center"/>
    </xf>
    <xf numFmtId="0" fontId="46" fillId="31" borderId="71" xfId="0" applyFont="1" applyFill="1" applyBorder="1" applyAlignment="1">
      <alignment horizontal="left" vertical="center" wrapText="1"/>
    </xf>
    <xf numFmtId="0" fontId="46" fillId="32" borderId="71" xfId="0" applyFont="1" applyFill="1" applyBorder="1" applyAlignment="1">
      <alignment vertical="center" wrapText="1"/>
    </xf>
    <xf numFmtId="0" fontId="46" fillId="33" borderId="65" xfId="0" applyFont="1" applyFill="1" applyBorder="1" applyAlignment="1">
      <alignment horizontal="left" vertical="center" wrapText="1"/>
    </xf>
    <xf numFmtId="0" fontId="46" fillId="33" borderId="80" xfId="0" applyFont="1" applyFill="1" applyBorder="1" applyAlignment="1">
      <alignment horizontal="left" vertical="center" wrapText="1"/>
    </xf>
    <xf numFmtId="1" fontId="20" fillId="26" borderId="25" xfId="0" applyNumberFormat="1" applyFont="1" applyFill="1" applyBorder="1" applyAlignment="1">
      <alignment horizontal="center" vertical="center" wrapText="1"/>
    </xf>
    <xf numFmtId="1" fontId="20" fillId="26" borderId="15" xfId="0" applyNumberFormat="1" applyFont="1" applyFill="1" applyBorder="1" applyAlignment="1">
      <alignment horizontal="center" vertical="center" wrapText="1"/>
    </xf>
    <xf numFmtId="0" fontId="15" fillId="0" borderId="21" xfId="0" applyFont="1" applyBorder="1" applyAlignment="1">
      <alignment vertical="center" wrapText="1"/>
    </xf>
    <xf numFmtId="0" fontId="15" fillId="0" borderId="15" xfId="0" applyFont="1" applyBorder="1" applyAlignment="1">
      <alignment vertical="center" wrapText="1"/>
    </xf>
    <xf numFmtId="0" fontId="0" fillId="0" borderId="21" xfId="0" applyBorder="1" applyAlignment="1">
      <alignment vertical="center" wrapText="1"/>
    </xf>
    <xf numFmtId="0" fontId="16" fillId="0" borderId="21" xfId="0" applyFont="1" applyBorder="1" applyAlignment="1">
      <alignment vertical="center" wrapText="1"/>
    </xf>
    <xf numFmtId="0" fontId="47" fillId="0" borderId="21" xfId="0" applyFont="1" applyBorder="1" applyAlignment="1">
      <alignment vertical="center" wrapText="1"/>
    </xf>
    <xf numFmtId="0" fontId="0" fillId="0" borderId="15" xfId="0" applyBorder="1" applyAlignment="1">
      <alignment vertical="center" wrapText="1"/>
    </xf>
    <xf numFmtId="0" fontId="16" fillId="0" borderId="15" xfId="0" applyFont="1" applyBorder="1" applyAlignment="1">
      <alignment vertical="center" wrapText="1"/>
    </xf>
    <xf numFmtId="0" fontId="47" fillId="0" borderId="15" xfId="0" applyFont="1" applyBorder="1" applyAlignment="1">
      <alignment vertical="center" wrapText="1"/>
    </xf>
    <xf numFmtId="0" fontId="47" fillId="0" borderId="15" xfId="0" applyFont="1" applyBorder="1" applyAlignment="1">
      <alignment horizontal="center" vertical="center" wrapText="1"/>
    </xf>
    <xf numFmtId="0" fontId="15" fillId="0" borderId="15" xfId="0" applyFont="1" applyBorder="1" applyAlignment="1">
      <alignment vertical="center"/>
    </xf>
    <xf numFmtId="0" fontId="19" fillId="0" borderId="24" xfId="0" applyFont="1" applyBorder="1" applyAlignment="1">
      <alignment horizontal="center" vertical="center"/>
    </xf>
    <xf numFmtId="165" fontId="19" fillId="0" borderId="24" xfId="0" applyNumberFormat="1" applyFont="1" applyBorder="1" applyAlignment="1">
      <alignment horizontal="center" vertical="center" wrapText="1"/>
    </xf>
    <xf numFmtId="165" fontId="46" fillId="0" borderId="81" xfId="0" applyNumberFormat="1" applyFont="1" applyBorder="1" applyAlignment="1">
      <alignment horizontal="center" vertical="center"/>
    </xf>
    <xf numFmtId="3" fontId="46" fillId="0" borderId="82" xfId="0" applyNumberFormat="1" applyFont="1" applyBorder="1" applyAlignment="1">
      <alignment horizontal="center" vertical="center"/>
    </xf>
    <xf numFmtId="1" fontId="21" fillId="26" borderId="28" xfId="0" applyNumberFormat="1" applyFont="1" applyFill="1" applyBorder="1" applyAlignment="1" applyProtection="1">
      <alignment horizontal="center" vertical="center" wrapText="1"/>
      <protection locked="0"/>
    </xf>
    <xf numFmtId="0" fontId="15" fillId="0" borderId="10" xfId="106" applyBorder="1" applyAlignment="1">
      <alignment vertical="center"/>
    </xf>
    <xf numFmtId="0" fontId="15" fillId="0" borderId="27" xfId="0" applyFont="1" applyBorder="1" applyAlignment="1">
      <alignment vertical="center" wrapText="1"/>
    </xf>
    <xf numFmtId="0" fontId="0" fillId="0" borderId="27" xfId="0" applyBorder="1" applyAlignment="1">
      <alignment vertical="center" wrapText="1"/>
    </xf>
    <xf numFmtId="165" fontId="19" fillId="0" borderId="18" xfId="0" applyNumberFormat="1" applyFont="1" applyBorder="1" applyAlignment="1">
      <alignment horizontal="center" vertical="center" wrapText="1"/>
    </xf>
    <xf numFmtId="0" fontId="22" fillId="0" borderId="48" xfId="0" applyFont="1" applyBorder="1" applyAlignment="1">
      <alignment horizontal="center" vertical="center" wrapText="1"/>
    </xf>
    <xf numFmtId="165" fontId="19" fillId="0" borderId="56" xfId="0" applyNumberFormat="1" applyFont="1" applyBorder="1" applyAlignment="1">
      <alignment horizontal="center" vertical="center" wrapText="1"/>
    </xf>
    <xf numFmtId="0" fontId="46" fillId="0" borderId="60" xfId="0" applyFont="1" applyBorder="1" applyAlignment="1">
      <alignment horizontal="right" vertical="center" wrapText="1"/>
    </xf>
    <xf numFmtId="0" fontId="15" fillId="0" borderId="38" xfId="106" applyBorder="1"/>
    <xf numFmtId="0" fontId="15" fillId="0" borderId="14" xfId="106" applyBorder="1"/>
    <xf numFmtId="0" fontId="63" fillId="0" borderId="14" xfId="144" applyFont="1" applyBorder="1"/>
    <xf numFmtId="0" fontId="63" fillId="0" borderId="0" xfId="144" applyFont="1" applyAlignment="1">
      <alignment horizontal="center"/>
    </xf>
    <xf numFmtId="0" fontId="12" fillId="0" borderId="38" xfId="144" applyBorder="1" applyAlignment="1">
      <alignment horizontal="center"/>
    </xf>
    <xf numFmtId="0" fontId="16" fillId="0" borderId="0" xfId="106" applyFont="1" applyAlignment="1">
      <alignment vertical="center"/>
    </xf>
    <xf numFmtId="0" fontId="63" fillId="0" borderId="38" xfId="144" applyFont="1" applyBorder="1" applyAlignment="1">
      <alignment horizontal="center"/>
    </xf>
    <xf numFmtId="0" fontId="12" fillId="0" borderId="15" xfId="144" applyBorder="1"/>
    <xf numFmtId="0" fontId="69" fillId="0" borderId="0" xfId="144" applyFont="1"/>
    <xf numFmtId="0" fontId="60" fillId="0" borderId="10" xfId="107" applyFont="1" applyBorder="1" applyAlignment="1">
      <alignment vertical="center"/>
    </xf>
    <xf numFmtId="0" fontId="15" fillId="0" borderId="0" xfId="106" applyAlignment="1">
      <alignment vertical="center"/>
    </xf>
    <xf numFmtId="0" fontId="20" fillId="0" borderId="0" xfId="106" applyFont="1" applyAlignment="1">
      <alignment horizontal="right" vertical="center"/>
    </xf>
    <xf numFmtId="0" fontId="12" fillId="0" borderId="0" xfId="144" applyAlignment="1">
      <alignment horizontal="center"/>
    </xf>
    <xf numFmtId="0" fontId="63" fillId="0" borderId="27" xfId="144" applyFont="1" applyBorder="1"/>
    <xf numFmtId="0" fontId="12" fillId="0" borderId="26" xfId="144" applyBorder="1"/>
    <xf numFmtId="0" fontId="12" fillId="0" borderId="77" xfId="144" applyBorder="1"/>
    <xf numFmtId="0" fontId="63" fillId="0" borderId="14" xfId="144" applyFont="1" applyBorder="1" applyAlignment="1">
      <alignment horizontal="center"/>
    </xf>
    <xf numFmtId="0" fontId="12" fillId="0" borderId="14" xfId="144" applyBorder="1" applyAlignment="1">
      <alignment horizontal="center"/>
    </xf>
    <xf numFmtId="0" fontId="12" fillId="0" borderId="14" xfId="144" applyBorder="1"/>
    <xf numFmtId="0" fontId="62" fillId="0" borderId="10" xfId="107" applyFont="1" applyBorder="1" applyAlignment="1">
      <alignment vertical="center"/>
    </xf>
    <xf numFmtId="0" fontId="15" fillId="0" borderId="0" xfId="106" applyAlignment="1">
      <alignment horizontal="left"/>
    </xf>
    <xf numFmtId="0" fontId="12" fillId="0" borderId="0" xfId="144"/>
    <xf numFmtId="0" fontId="0" fillId="0" borderId="27" xfId="0" applyBorder="1"/>
    <xf numFmtId="0" fontId="60" fillId="0" borderId="56" xfId="107" applyFont="1" applyBorder="1" applyAlignment="1">
      <alignment vertical="center"/>
    </xf>
    <xf numFmtId="0" fontId="63" fillId="0" borderId="0" xfId="144" applyFont="1"/>
    <xf numFmtId="0" fontId="63" fillId="0" borderId="79" xfId="144" applyFont="1" applyBorder="1"/>
    <xf numFmtId="0" fontId="60" fillId="0" borderId="42" xfId="107" applyFont="1" applyBorder="1" applyAlignment="1">
      <alignment vertical="center"/>
    </xf>
    <xf numFmtId="1" fontId="20" fillId="29" borderId="10" xfId="0" applyNumberFormat="1" applyFont="1" applyFill="1" applyBorder="1" applyAlignment="1" applyProtection="1">
      <alignment horizontal="center" vertical="center" wrapText="1"/>
      <protection locked="0"/>
    </xf>
    <xf numFmtId="14" fontId="20" fillId="29" borderId="10" xfId="0" applyNumberFormat="1" applyFont="1" applyFill="1" applyBorder="1" applyAlignment="1" applyProtection="1">
      <alignment horizontal="center" vertical="center" wrapText="1"/>
      <protection locked="0"/>
    </xf>
    <xf numFmtId="0" fontId="15" fillId="0" borderId="47" xfId="106" applyBorder="1" applyAlignment="1">
      <alignment vertical="center" wrapText="1"/>
    </xf>
    <xf numFmtId="0" fontId="15" fillId="0" borderId="0" xfId="0" applyFont="1"/>
    <xf numFmtId="0" fontId="15" fillId="0" borderId="0" xfId="106"/>
    <xf numFmtId="0" fontId="15" fillId="0" borderId="0" xfId="106" applyAlignment="1">
      <alignment vertical="center" wrapText="1"/>
    </xf>
    <xf numFmtId="0" fontId="20" fillId="0" borderId="0" xfId="106" applyFont="1" applyAlignment="1">
      <alignment horizontal="left" vertical="center"/>
    </xf>
    <xf numFmtId="0" fontId="15" fillId="0" borderId="18" xfId="106" applyBorder="1" applyAlignment="1">
      <alignment vertical="center" wrapText="1"/>
    </xf>
    <xf numFmtId="0" fontId="20" fillId="0" borderId="0" xfId="106" applyFont="1" applyAlignment="1">
      <alignment horizontal="left"/>
    </xf>
    <xf numFmtId="0" fontId="19" fillId="27" borderId="16" xfId="106" applyFont="1" applyFill="1" applyBorder="1" applyAlignment="1">
      <alignment vertical="center" wrapText="1"/>
    </xf>
    <xf numFmtId="0" fontId="15" fillId="0" borderId="11" xfId="106" applyBorder="1" applyAlignment="1">
      <alignment horizontal="center" vertical="center" wrapText="1"/>
    </xf>
    <xf numFmtId="0" fontId="20" fillId="26" borderId="24" xfId="106" applyFont="1" applyFill="1" applyBorder="1" applyAlignment="1">
      <alignment vertical="center" wrapText="1"/>
    </xf>
    <xf numFmtId="0" fontId="20" fillId="26" borderId="28" xfId="106" applyFont="1" applyFill="1" applyBorder="1" applyAlignment="1">
      <alignment horizontal="center" vertical="center"/>
    </xf>
    <xf numFmtId="0" fontId="15" fillId="0" borderId="0" xfId="106" applyAlignment="1">
      <alignment horizontal="left" vertical="center" wrapText="1"/>
    </xf>
    <xf numFmtId="0" fontId="20" fillId="0" borderId="0" xfId="106" applyFont="1" applyAlignment="1">
      <alignment horizontal="center"/>
    </xf>
    <xf numFmtId="0" fontId="20" fillId="0" borderId="0" xfId="106" applyFont="1" applyAlignment="1">
      <alignment horizontal="center" vertical="center"/>
    </xf>
    <xf numFmtId="0" fontId="15" fillId="0" borderId="0" xfId="106" applyAlignment="1">
      <alignment wrapText="1"/>
    </xf>
    <xf numFmtId="0" fontId="15" fillId="0" borderId="0" xfId="106" applyAlignment="1">
      <alignment horizontal="left" wrapText="1"/>
    </xf>
    <xf numFmtId="0" fontId="46" fillId="31" borderId="16" xfId="0" applyFont="1" applyFill="1" applyBorder="1" applyAlignment="1">
      <alignment horizontal="center" vertical="center"/>
    </xf>
    <xf numFmtId="1" fontId="20" fillId="29" borderId="23" xfId="0" applyNumberFormat="1" applyFont="1" applyFill="1" applyBorder="1" applyAlignment="1" applyProtection="1">
      <alignment horizontal="center" vertical="center" wrapText="1"/>
      <protection locked="0"/>
    </xf>
    <xf numFmtId="0" fontId="15" fillId="0" borderId="44" xfId="106" applyBorder="1" applyAlignment="1" applyProtection="1">
      <alignment horizontal="left" vertical="center" wrapText="1"/>
      <protection locked="0"/>
    </xf>
    <xf numFmtId="0" fontId="15" fillId="0" borderId="48" xfId="0" applyFont="1" applyBorder="1" applyAlignment="1">
      <alignment horizontal="center" vertical="center" wrapText="1"/>
    </xf>
    <xf numFmtId="0" fontId="0" fillId="0" borderId="48" xfId="0" applyBorder="1" applyAlignment="1">
      <alignment vertical="center" wrapText="1"/>
    </xf>
    <xf numFmtId="164" fontId="24" fillId="0" borderId="14" xfId="0" applyNumberFormat="1" applyFont="1" applyBorder="1" applyAlignment="1">
      <alignment horizontal="center" vertical="center"/>
    </xf>
    <xf numFmtId="0" fontId="15" fillId="0" borderId="33" xfId="106" applyBorder="1" applyAlignment="1" applyProtection="1">
      <alignment horizontal="left" vertical="center" wrapText="1"/>
      <protection locked="0"/>
    </xf>
    <xf numFmtId="0" fontId="49" fillId="0" borderId="23" xfId="0" applyFont="1" applyBorder="1" applyAlignment="1">
      <alignment horizontal="left" vertical="center"/>
    </xf>
    <xf numFmtId="0" fontId="49" fillId="0" borderId="11" xfId="0" applyFont="1" applyBorder="1" applyAlignment="1">
      <alignment horizontal="left" vertical="center"/>
    </xf>
    <xf numFmtId="0" fontId="15" fillId="0" borderId="18" xfId="106" applyBorder="1" applyAlignment="1" applyProtection="1">
      <alignment horizontal="left" vertical="center" wrapText="1"/>
      <protection locked="0"/>
    </xf>
    <xf numFmtId="0" fontId="54" fillId="0" borderId="101" xfId="0" applyFont="1" applyBorder="1" applyAlignment="1">
      <alignment horizontal="left" vertical="center"/>
    </xf>
    <xf numFmtId="0" fontId="0" fillId="0" borderId="15" xfId="0" applyBorder="1" applyAlignment="1">
      <alignment vertical="center"/>
    </xf>
    <xf numFmtId="0" fontId="49" fillId="0" borderId="16" xfId="0" applyFont="1" applyBorder="1" applyAlignment="1">
      <alignment horizontal="left" vertical="center"/>
    </xf>
    <xf numFmtId="0" fontId="49" fillId="0" borderId="18" xfId="0" applyFont="1" applyBorder="1" applyAlignment="1">
      <alignment horizontal="left" vertical="center"/>
    </xf>
    <xf numFmtId="0" fontId="49" fillId="0" borderId="24" xfId="0" applyFont="1" applyBorder="1" applyAlignment="1">
      <alignment horizontal="left" vertical="center"/>
    </xf>
    <xf numFmtId="164" fontId="24" fillId="0" borderId="75" xfId="0" applyNumberFormat="1" applyFont="1" applyBorder="1" applyAlignment="1">
      <alignment horizontal="center" vertical="center"/>
    </xf>
    <xf numFmtId="0" fontId="0" fillId="29" borderId="102" xfId="0" applyFill="1" applyBorder="1" applyAlignment="1">
      <alignment horizontal="center" vertical="center"/>
    </xf>
    <xf numFmtId="164" fontId="15" fillId="0" borderId="102" xfId="0" applyNumberFormat="1" applyFont="1" applyBorder="1" applyAlignment="1">
      <alignment horizontal="center" vertical="center"/>
    </xf>
    <xf numFmtId="0" fontId="0" fillId="0" borderId="53" xfId="0" applyBorder="1" applyAlignment="1">
      <alignment vertical="center" wrapText="1"/>
    </xf>
    <xf numFmtId="164" fontId="15" fillId="0" borderId="103" xfId="0" applyNumberFormat="1" applyFont="1" applyBorder="1" applyAlignment="1">
      <alignment horizontal="center" vertical="center"/>
    </xf>
    <xf numFmtId="0" fontId="0" fillId="34" borderId="103" xfId="0" applyFill="1" applyBorder="1" applyAlignment="1">
      <alignment horizontal="center" vertical="center"/>
    </xf>
    <xf numFmtId="0" fontId="66" fillId="0" borderId="35" xfId="0" applyFont="1" applyBorder="1" applyAlignment="1">
      <alignment vertical="center" wrapText="1"/>
    </xf>
    <xf numFmtId="0" fontId="66" fillId="0" borderId="104" xfId="0" applyFont="1" applyBorder="1" applyAlignment="1">
      <alignment vertical="center" wrapText="1"/>
    </xf>
    <xf numFmtId="0" fontId="0" fillId="0" borderId="41" xfId="0" applyBorder="1" applyAlignment="1">
      <alignment vertical="center" wrapText="1"/>
    </xf>
    <xf numFmtId="0" fontId="0" fillId="36" borderId="106" xfId="0" applyFill="1" applyBorder="1" applyAlignment="1">
      <alignment vertical="center" wrapText="1"/>
    </xf>
    <xf numFmtId="0" fontId="0" fillId="36" borderId="37" xfId="0" applyFill="1" applyBorder="1" applyAlignment="1">
      <alignment vertical="center" wrapText="1"/>
    </xf>
    <xf numFmtId="0" fontId="0" fillId="36" borderId="0" xfId="0" applyFill="1" applyAlignment="1">
      <alignment vertical="center" wrapText="1"/>
    </xf>
    <xf numFmtId="0" fontId="15" fillId="0" borderId="53" xfId="106" applyBorder="1"/>
    <xf numFmtId="0" fontId="20" fillId="0" borderId="14" xfId="106" applyFont="1" applyBorder="1" applyAlignment="1">
      <alignment horizontal="center"/>
    </xf>
    <xf numFmtId="0" fontId="15" fillId="0" borderId="53" xfId="106" applyBorder="1" applyAlignment="1">
      <alignment vertical="center"/>
    </xf>
    <xf numFmtId="0" fontId="15" fillId="0" borderId="10" xfId="106" applyBorder="1" applyAlignment="1">
      <alignment vertical="center" wrapText="1"/>
    </xf>
    <xf numFmtId="0" fontId="15" fillId="0" borderId="23" xfId="106" applyBorder="1" applyAlignment="1">
      <alignment horizontal="center" vertical="center" wrapText="1"/>
    </xf>
    <xf numFmtId="0" fontId="12" fillId="0" borderId="20" xfId="144" applyBorder="1"/>
    <xf numFmtId="0" fontId="20" fillId="0" borderId="0" xfId="106" applyFont="1" applyAlignment="1">
      <alignment horizontal="left" vertical="center" wrapText="1"/>
    </xf>
    <xf numFmtId="0" fontId="15" fillId="0" borderId="51" xfId="106" applyBorder="1" applyAlignment="1">
      <alignment horizontal="center" vertical="center" wrapText="1"/>
    </xf>
    <xf numFmtId="0" fontId="20" fillId="0" borderId="14" xfId="106" applyFont="1" applyBorder="1" applyAlignment="1">
      <alignment horizontal="left"/>
    </xf>
    <xf numFmtId="0" fontId="15" fillId="0" borderId="75" xfId="106" applyBorder="1" applyAlignment="1">
      <alignment horizontal="center" vertical="center" wrapText="1"/>
    </xf>
    <xf numFmtId="0" fontId="15" fillId="0" borderId="53" xfId="106" applyBorder="1" applyAlignment="1">
      <alignment horizontal="center" vertical="center" wrapText="1"/>
    </xf>
    <xf numFmtId="0" fontId="66" fillId="0" borderId="101" xfId="0" applyFont="1" applyBorder="1" applyAlignment="1" applyProtection="1">
      <alignment vertical="center"/>
      <protection locked="0"/>
    </xf>
    <xf numFmtId="0" fontId="49" fillId="0" borderId="25" xfId="0" applyFont="1" applyBorder="1" applyAlignment="1">
      <alignment horizontal="left" vertical="center"/>
    </xf>
    <xf numFmtId="0" fontId="49" fillId="0" borderId="72" xfId="0" applyFont="1" applyBorder="1" applyAlignment="1">
      <alignment horizontal="left" vertical="center"/>
    </xf>
    <xf numFmtId="0" fontId="19" fillId="28" borderId="64" xfId="106" applyFont="1" applyFill="1" applyBorder="1" applyAlignment="1">
      <alignment horizontal="center" vertical="center"/>
    </xf>
    <xf numFmtId="0" fontId="17" fillId="0" borderId="48" xfId="0" applyFont="1" applyBorder="1" applyAlignment="1">
      <alignment horizontal="center" vertical="center" wrapText="1"/>
    </xf>
    <xf numFmtId="0" fontId="15" fillId="0" borderId="0" xfId="106" applyAlignment="1">
      <alignment horizontal="center"/>
    </xf>
    <xf numFmtId="0" fontId="59" fillId="0" borderId="10" xfId="144" applyFont="1" applyBorder="1" applyProtection="1">
      <protection locked="0"/>
    </xf>
    <xf numFmtId="0" fontId="60" fillId="0" borderId="10" xfId="144" applyFont="1" applyBorder="1" applyAlignment="1" applyProtection="1">
      <alignment wrapText="1"/>
      <protection locked="0"/>
    </xf>
    <xf numFmtId="0" fontId="60" fillId="0" borderId="10" xfId="144" applyFont="1" applyBorder="1" applyProtection="1">
      <protection locked="0"/>
    </xf>
    <xf numFmtId="9" fontId="65" fillId="26" borderId="39" xfId="144" applyNumberFormat="1" applyFont="1" applyFill="1" applyBorder="1" applyAlignment="1">
      <alignment horizontal="center" vertical="center"/>
    </xf>
    <xf numFmtId="0" fontId="65" fillId="26" borderId="25" xfId="144" applyFont="1" applyFill="1" applyBorder="1" applyAlignment="1">
      <alignment horizontal="center" vertical="center"/>
    </xf>
    <xf numFmtId="0" fontId="69" fillId="0" borderId="77" xfId="144" applyFont="1" applyBorder="1"/>
    <xf numFmtId="0" fontId="65" fillId="0" borderId="18" xfId="144" applyFont="1" applyBorder="1" applyAlignment="1">
      <alignment vertical="center"/>
    </xf>
    <xf numFmtId="0" fontId="15" fillId="0" borderId="18" xfId="106" applyBorder="1" applyAlignment="1">
      <alignment horizontal="left" vertical="center"/>
    </xf>
    <xf numFmtId="0" fontId="19" fillId="28" borderId="35" xfId="106" applyFont="1" applyFill="1" applyBorder="1" applyAlignment="1">
      <alignment vertical="center" wrapText="1"/>
    </xf>
    <xf numFmtId="0" fontId="19" fillId="28" borderId="58" xfId="71" applyFont="1" applyFill="1" applyBorder="1" applyAlignment="1" applyProtection="1">
      <alignment horizontal="center" vertical="center" wrapText="1"/>
    </xf>
    <xf numFmtId="167" fontId="20" fillId="26" borderId="39" xfId="0" applyNumberFormat="1" applyFont="1" applyFill="1" applyBorder="1" applyAlignment="1">
      <alignment horizontal="center" vertical="center" wrapText="1"/>
    </xf>
    <xf numFmtId="167" fontId="20" fillId="29" borderId="11" xfId="0" applyNumberFormat="1" applyFont="1" applyFill="1" applyBorder="1" applyAlignment="1" applyProtection="1">
      <alignment horizontal="center" vertical="center" wrapText="1"/>
      <protection locked="0"/>
    </xf>
    <xf numFmtId="167" fontId="20" fillId="29" borderId="10" xfId="0" applyNumberFormat="1" applyFont="1" applyFill="1" applyBorder="1" applyAlignment="1" applyProtection="1">
      <alignment horizontal="center" vertical="center" wrapText="1"/>
      <protection locked="0"/>
    </xf>
    <xf numFmtId="167" fontId="20" fillId="29" borderId="32" xfId="0" applyNumberFormat="1" applyFont="1" applyFill="1" applyBorder="1" applyAlignment="1" applyProtection="1">
      <alignment horizontal="center" vertical="center" wrapText="1"/>
      <protection locked="0"/>
    </xf>
    <xf numFmtId="167" fontId="20" fillId="29" borderId="71" xfId="0" applyNumberFormat="1" applyFont="1" applyFill="1" applyBorder="1" applyAlignment="1" applyProtection="1">
      <alignment horizontal="center" vertical="center" wrapText="1"/>
      <protection locked="0"/>
    </xf>
    <xf numFmtId="165" fontId="46" fillId="31" borderId="71" xfId="0" applyNumberFormat="1" applyFont="1" applyFill="1" applyBorder="1" applyAlignment="1">
      <alignment horizontal="center" vertical="center" wrapText="1"/>
    </xf>
    <xf numFmtId="1" fontId="20" fillId="26" borderId="98" xfId="0" applyNumberFormat="1" applyFont="1" applyFill="1" applyBorder="1" applyAlignment="1">
      <alignment horizontal="center" vertical="center" wrapText="1"/>
    </xf>
    <xf numFmtId="165" fontId="46" fillId="32" borderId="65" xfId="0" applyNumberFormat="1" applyFont="1" applyFill="1" applyBorder="1" applyAlignment="1">
      <alignment horizontal="center" vertical="center" wrapText="1"/>
    </xf>
    <xf numFmtId="1" fontId="46" fillId="32" borderId="72" xfId="0" applyNumberFormat="1" applyFont="1" applyFill="1" applyBorder="1" applyAlignment="1">
      <alignment horizontal="center" vertical="center" wrapText="1"/>
    </xf>
    <xf numFmtId="0" fontId="15" fillId="0" borderId="0" xfId="0" applyFont="1" applyAlignment="1">
      <alignment horizontal="center" vertical="center"/>
    </xf>
    <xf numFmtId="164" fontId="15" fillId="0" borderId="0" xfId="0" applyNumberFormat="1" applyFont="1" applyAlignment="1">
      <alignment horizontal="center" vertical="center"/>
    </xf>
    <xf numFmtId="0" fontId="15" fillId="0" borderId="0" xfId="0" applyFont="1" applyAlignment="1">
      <alignment horizontal="left" vertical="center"/>
    </xf>
    <xf numFmtId="164" fontId="15" fillId="0" borderId="0" xfId="0" applyNumberFormat="1" applyFont="1" applyAlignment="1" applyProtection="1">
      <alignment horizontal="center" vertical="center"/>
      <protection locked="0"/>
    </xf>
    <xf numFmtId="0" fontId="15" fillId="0" borderId="0" xfId="0" applyFont="1" applyAlignment="1" applyProtection="1">
      <alignment horizontal="left" vertical="center"/>
      <protection locked="0"/>
    </xf>
    <xf numFmtId="0" fontId="15" fillId="0" borderId="20" xfId="106" applyBorder="1"/>
    <xf numFmtId="9" fontId="65" fillId="29" borderId="10" xfId="144" applyNumberFormat="1" applyFont="1" applyFill="1" applyBorder="1" applyAlignment="1" applyProtection="1">
      <alignment horizontal="center"/>
      <protection locked="0"/>
    </xf>
    <xf numFmtId="0" fontId="59" fillId="0" borderId="44" xfId="144" applyFont="1" applyBorder="1" applyAlignment="1">
      <alignment horizontal="center"/>
    </xf>
    <xf numFmtId="0" fontId="59" fillId="0" borderId="46" xfId="144" applyFont="1" applyBorder="1" applyAlignment="1">
      <alignment horizontal="center"/>
    </xf>
    <xf numFmtId="0" fontId="65" fillId="0" borderId="49" xfId="144" applyFont="1" applyBorder="1"/>
    <xf numFmtId="0" fontId="65" fillId="0" borderId="32" xfId="144" applyFont="1" applyBorder="1" applyAlignment="1">
      <alignment horizontal="center"/>
    </xf>
    <xf numFmtId="0" fontId="59" fillId="0" borderId="23" xfId="144" applyFont="1" applyBorder="1" applyAlignment="1">
      <alignment horizontal="center"/>
    </xf>
    <xf numFmtId="0" fontId="65" fillId="0" borderId="27" xfId="144" applyFont="1" applyBorder="1"/>
    <xf numFmtId="0" fontId="65" fillId="0" borderId="41" xfId="144" applyFont="1" applyBorder="1" applyAlignment="1">
      <alignment horizontal="center"/>
    </xf>
    <xf numFmtId="0" fontId="65" fillId="0" borderId="76" xfId="144" applyFont="1" applyBorder="1"/>
    <xf numFmtId="0" fontId="65" fillId="0" borderId="42" xfId="144" applyFont="1" applyBorder="1" applyAlignment="1">
      <alignment horizontal="center"/>
    </xf>
    <xf numFmtId="9" fontId="65" fillId="29" borderId="11" xfId="144" applyNumberFormat="1" applyFont="1" applyFill="1" applyBorder="1" applyAlignment="1" applyProtection="1">
      <alignment horizontal="center"/>
      <protection locked="0"/>
    </xf>
    <xf numFmtId="0" fontId="65" fillId="0" borderId="11" xfId="144" applyFont="1" applyBorder="1" applyAlignment="1">
      <alignment horizontal="center"/>
    </xf>
    <xf numFmtId="0" fontId="65" fillId="0" borderId="29" xfId="144" applyFont="1" applyBorder="1"/>
    <xf numFmtId="0" fontId="65" fillId="0" borderId="90" xfId="144" applyFont="1" applyBorder="1"/>
    <xf numFmtId="0" fontId="65" fillId="0" borderId="50" xfId="144" applyFont="1" applyBorder="1"/>
    <xf numFmtId="9" fontId="65" fillId="29" borderId="30" xfId="144" applyNumberFormat="1" applyFont="1" applyFill="1" applyBorder="1" applyAlignment="1" applyProtection="1">
      <alignment horizontal="center"/>
      <protection locked="0"/>
    </xf>
    <xf numFmtId="9" fontId="75" fillId="0" borderId="11" xfId="144" applyNumberFormat="1" applyFont="1" applyBorder="1" applyAlignment="1">
      <alignment horizontal="center"/>
    </xf>
    <xf numFmtId="9" fontId="65" fillId="29" borderId="47" xfId="144" applyNumberFormat="1" applyFont="1" applyFill="1" applyBorder="1" applyAlignment="1" applyProtection="1">
      <alignment horizontal="center"/>
      <protection locked="0"/>
    </xf>
    <xf numFmtId="0" fontId="15" fillId="0" borderId="55" xfId="106" applyBorder="1"/>
    <xf numFmtId="0" fontId="15" fillId="0" borderId="49" xfId="106" applyBorder="1" applyAlignment="1" applyProtection="1">
      <alignment vertical="center" wrapText="1"/>
      <protection locked="0"/>
    </xf>
    <xf numFmtId="0" fontId="15" fillId="0" borderId="38" xfId="0" applyFont="1" applyBorder="1"/>
    <xf numFmtId="0" fontId="19" fillId="28" borderId="58" xfId="106" applyFont="1" applyFill="1" applyBorder="1" applyAlignment="1">
      <alignment horizontal="center" vertical="center"/>
    </xf>
    <xf numFmtId="0" fontId="15" fillId="0" borderId="94" xfId="106" applyBorder="1" applyAlignment="1">
      <alignment vertical="center"/>
    </xf>
    <xf numFmtId="0" fontId="20" fillId="26" borderId="96" xfId="106" applyFont="1" applyFill="1" applyBorder="1" applyAlignment="1">
      <alignment vertical="center"/>
    </xf>
    <xf numFmtId="0" fontId="15" fillId="0" borderId="33" xfId="106" applyBorder="1" applyAlignment="1">
      <alignment vertical="center"/>
    </xf>
    <xf numFmtId="0" fontId="20" fillId="26" borderId="96" xfId="106" applyFont="1" applyFill="1" applyBorder="1" applyAlignment="1">
      <alignment vertical="center" wrapText="1"/>
    </xf>
    <xf numFmtId="0" fontId="20" fillId="26" borderId="28" xfId="106" applyFont="1" applyFill="1" applyBorder="1" applyAlignment="1">
      <alignment vertical="center" wrapText="1"/>
    </xf>
    <xf numFmtId="0" fontId="19" fillId="28" borderId="59" xfId="106" applyFont="1" applyFill="1" applyBorder="1" applyAlignment="1">
      <alignment horizontal="center" vertical="center"/>
    </xf>
    <xf numFmtId="1" fontId="20" fillId="26" borderId="28" xfId="106" applyNumberFormat="1" applyFont="1" applyFill="1" applyBorder="1" applyAlignment="1">
      <alignment horizontal="center" vertical="center"/>
    </xf>
    <xf numFmtId="0" fontId="19" fillId="28" borderId="34" xfId="106" applyFont="1" applyFill="1" applyBorder="1" applyAlignment="1">
      <alignment horizontal="center" vertical="center"/>
    </xf>
    <xf numFmtId="0" fontId="19" fillId="28" borderId="64" xfId="106" applyFont="1" applyFill="1" applyBorder="1" applyAlignment="1">
      <alignment horizontal="left" vertical="center"/>
    </xf>
    <xf numFmtId="0" fontId="15" fillId="0" borderId="27" xfId="106" applyBorder="1" applyAlignment="1">
      <alignment horizontal="left" vertical="center"/>
    </xf>
    <xf numFmtId="0" fontId="20" fillId="26" borderId="96" xfId="106" applyFont="1" applyFill="1" applyBorder="1" applyAlignment="1">
      <alignment horizontal="left" vertical="center"/>
    </xf>
    <xf numFmtId="0" fontId="19" fillId="28" borderId="91" xfId="106" applyFont="1" applyFill="1" applyBorder="1" applyAlignment="1">
      <alignment horizontal="left" vertical="center"/>
    </xf>
    <xf numFmtId="0" fontId="15" fillId="0" borderId="33" xfId="106" applyBorder="1" applyAlignment="1">
      <alignment horizontal="left" vertical="center"/>
    </xf>
    <xf numFmtId="0" fontId="20" fillId="26" borderId="100" xfId="106" applyFont="1" applyFill="1" applyBorder="1" applyAlignment="1">
      <alignment horizontal="left" vertical="center" wrapText="1"/>
    </xf>
    <xf numFmtId="0" fontId="20" fillId="26" borderId="28" xfId="106" applyFont="1" applyFill="1" applyBorder="1" applyAlignment="1">
      <alignment horizontal="left" vertical="center" wrapText="1"/>
    </xf>
    <xf numFmtId="0" fontId="15" fillId="0" borderId="18" xfId="106" applyBorder="1" applyAlignment="1">
      <alignment horizontal="left" vertical="center" wrapText="1"/>
    </xf>
    <xf numFmtId="0" fontId="76" fillId="29" borderId="33" xfId="71" applyFont="1" applyFill="1" applyBorder="1" applyAlignment="1" applyProtection="1">
      <alignment horizontal="center" vertical="center"/>
      <protection locked="0"/>
    </xf>
    <xf numFmtId="0" fontId="15" fillId="0" borderId="38" xfId="106" applyBorder="1" applyAlignment="1">
      <alignment horizontal="left"/>
    </xf>
    <xf numFmtId="0" fontId="15" fillId="0" borderId="38" xfId="106" applyBorder="1" applyAlignment="1">
      <alignment horizontal="center"/>
    </xf>
    <xf numFmtId="0" fontId="15" fillId="0" borderId="14" xfId="106" applyBorder="1" applyAlignment="1">
      <alignment horizontal="center"/>
    </xf>
    <xf numFmtId="0" fontId="15" fillId="0" borderId="49" xfId="106" applyBorder="1"/>
    <xf numFmtId="0" fontId="15" fillId="0" borderId="38" xfId="0" applyFont="1" applyBorder="1" applyAlignment="1">
      <alignment horizontal="left"/>
    </xf>
    <xf numFmtId="0" fontId="15" fillId="0" borderId="0" xfId="0" applyFont="1" applyAlignment="1">
      <alignment horizontal="left"/>
    </xf>
    <xf numFmtId="0" fontId="15" fillId="0" borderId="20" xfId="106" applyBorder="1" applyAlignment="1">
      <alignment horizontal="left" wrapText="1"/>
    </xf>
    <xf numFmtId="0" fontId="15" fillId="0" borderId="49" xfId="106" applyBorder="1" applyAlignment="1">
      <alignment horizontal="left" wrapText="1"/>
    </xf>
    <xf numFmtId="0" fontId="15" fillId="0" borderId="49" xfId="106" applyBorder="1" applyAlignment="1">
      <alignment vertical="center"/>
    </xf>
    <xf numFmtId="0" fontId="76" fillId="29" borderId="55" xfId="71" applyFont="1" applyFill="1" applyBorder="1" applyAlignment="1" applyProtection="1">
      <alignment horizontal="center" vertical="center"/>
      <protection locked="0"/>
    </xf>
    <xf numFmtId="0" fontId="15" fillId="0" borderId="29" xfId="106" applyBorder="1" applyAlignment="1">
      <alignment horizontal="left" vertical="center" wrapText="1"/>
    </xf>
    <xf numFmtId="165" fontId="19" fillId="0" borderId="29" xfId="0" applyNumberFormat="1" applyFont="1" applyBorder="1" applyAlignment="1">
      <alignment horizontal="center" vertical="center" wrapText="1"/>
    </xf>
    <xf numFmtId="0" fontId="20" fillId="0" borderId="14" xfId="106" applyFont="1" applyBorder="1" applyAlignment="1">
      <alignment horizontal="left" vertical="center"/>
    </xf>
    <xf numFmtId="0" fontId="19" fillId="0" borderId="29" xfId="0" applyFont="1" applyBorder="1" applyAlignment="1">
      <alignment horizontal="center" vertical="center"/>
    </xf>
    <xf numFmtId="0" fontId="60" fillId="0" borderId="0" xfId="1143"/>
    <xf numFmtId="0" fontId="60" fillId="0" borderId="11" xfId="1143" applyBorder="1" applyAlignment="1">
      <alignment horizontal="center" vertical="center" wrapText="1"/>
    </xf>
    <xf numFmtId="0" fontId="15" fillId="0" borderId="10" xfId="106" applyBorder="1" applyAlignment="1" applyProtection="1">
      <alignment horizontal="center" vertical="center" wrapText="1"/>
      <protection locked="0"/>
    </xf>
    <xf numFmtId="0" fontId="78" fillId="26" borderId="95" xfId="106" applyFont="1" applyFill="1" applyBorder="1" applyAlignment="1">
      <alignment vertical="center" wrapText="1"/>
    </xf>
    <xf numFmtId="0" fontId="79" fillId="0" borderId="0" xfId="1143" applyFont="1" applyAlignment="1">
      <alignment vertical="center"/>
    </xf>
    <xf numFmtId="0" fontId="25" fillId="0" borderId="22" xfId="106" applyFont="1" applyBorder="1" applyAlignment="1">
      <alignment horizontal="center" vertical="center" wrapText="1"/>
    </xf>
    <xf numFmtId="0" fontId="15" fillId="0" borderId="0" xfId="106" applyProtection="1">
      <protection locked="0"/>
    </xf>
    <xf numFmtId="0" fontId="28" fillId="26" borderId="13" xfId="106" applyFont="1" applyFill="1" applyBorder="1" applyAlignment="1">
      <alignment horizontal="center" vertical="center" wrapText="1"/>
    </xf>
    <xf numFmtId="0" fontId="25" fillId="0" borderId="0" xfId="106" applyFont="1" applyAlignment="1">
      <alignment horizontal="left" vertical="top" wrapText="1"/>
    </xf>
    <xf numFmtId="0" fontId="15" fillId="0" borderId="0" xfId="106" applyAlignment="1">
      <alignment horizontal="center" vertical="center"/>
    </xf>
    <xf numFmtId="0" fontId="15" fillId="0" borderId="0" xfId="106" applyAlignment="1" applyProtection="1">
      <alignment vertical="center"/>
      <protection locked="0"/>
    </xf>
    <xf numFmtId="0" fontId="15" fillId="0" borderId="0" xfId="106" applyAlignment="1">
      <alignment horizontal="center" vertical="center" wrapText="1"/>
    </xf>
    <xf numFmtId="0" fontId="15" fillId="0" borderId="90" xfId="106" applyBorder="1" applyAlignment="1">
      <alignment vertical="center" wrapText="1"/>
    </xf>
    <xf numFmtId="0" fontId="15" fillId="0" borderId="30" xfId="106" applyBorder="1" applyAlignment="1">
      <alignment horizontal="center" vertical="center" wrapText="1"/>
    </xf>
    <xf numFmtId="0" fontId="15" fillId="0" borderId="25" xfId="106" applyBorder="1" applyAlignment="1">
      <alignment horizontal="center" vertical="center" wrapText="1"/>
    </xf>
    <xf numFmtId="0" fontId="15" fillId="0" borderId="98" xfId="106" applyBorder="1" applyAlignment="1">
      <alignment horizontal="center" vertical="center" wrapText="1"/>
    </xf>
    <xf numFmtId="0" fontId="15" fillId="0" borderId="22" xfId="106" applyBorder="1" applyAlignment="1">
      <alignment horizontal="center" vertical="center" wrapText="1"/>
    </xf>
    <xf numFmtId="0" fontId="15" fillId="0" borderId="41" xfId="106" applyBorder="1" applyAlignment="1">
      <alignment vertical="center" wrapText="1"/>
    </xf>
    <xf numFmtId="0" fontId="28" fillId="26" borderId="108" xfId="106" applyFont="1" applyFill="1" applyBorder="1" applyAlignment="1">
      <alignment vertical="center" wrapText="1"/>
    </xf>
    <xf numFmtId="0" fontId="15" fillId="0" borderId="33" xfId="106" applyBorder="1" applyAlignment="1">
      <alignment horizontal="center" vertical="center" wrapText="1"/>
    </xf>
    <xf numFmtId="0" fontId="49" fillId="29" borderId="58" xfId="71" applyFont="1" applyFill="1" applyBorder="1" applyAlignment="1" applyProtection="1">
      <alignment horizontal="center" vertical="center" wrapText="1"/>
      <protection locked="0"/>
    </xf>
    <xf numFmtId="0" fontId="15" fillId="0" borderId="59" xfId="106" applyBorder="1" applyAlignment="1">
      <alignment horizontal="center" vertical="center"/>
    </xf>
    <xf numFmtId="1" fontId="20" fillId="26" borderId="33" xfId="106" applyNumberFormat="1" applyFont="1" applyFill="1" applyBorder="1" applyAlignment="1">
      <alignment horizontal="center" vertical="center"/>
    </xf>
    <xf numFmtId="0" fontId="15" fillId="0" borderId="46" xfId="106" applyBorder="1" applyAlignment="1">
      <alignment horizontal="center" vertical="center"/>
    </xf>
    <xf numFmtId="0" fontId="16" fillId="0" borderId="0" xfId="106" applyFont="1"/>
    <xf numFmtId="0" fontId="15" fillId="0" borderId="52" xfId="106" applyBorder="1" applyAlignment="1">
      <alignment horizontal="center" vertical="center"/>
    </xf>
    <xf numFmtId="165" fontId="20" fillId="26" borderId="31" xfId="106" applyNumberFormat="1" applyFont="1" applyFill="1" applyBorder="1" applyAlignment="1">
      <alignment horizontal="center" vertical="center"/>
    </xf>
    <xf numFmtId="0" fontId="16" fillId="0" borderId="10" xfId="0" applyFont="1" applyBorder="1"/>
    <xf numFmtId="1" fontId="20" fillId="0" borderId="10" xfId="0" applyNumberFormat="1" applyFont="1" applyBorder="1" applyAlignment="1" applyProtection="1">
      <alignment horizontal="center" vertical="center" wrapText="1"/>
      <protection locked="0"/>
    </xf>
    <xf numFmtId="0" fontId="54" fillId="0" borderId="10" xfId="0" applyFont="1" applyBorder="1"/>
    <xf numFmtId="0" fontId="59" fillId="0" borderId="0" xfId="1150" applyFont="1" applyAlignment="1">
      <alignment vertical="center"/>
    </xf>
    <xf numFmtId="0" fontId="64" fillId="0" borderId="108" xfId="106" applyFont="1" applyBorder="1" applyAlignment="1">
      <alignment horizontal="center" vertical="center"/>
    </xf>
    <xf numFmtId="0" fontId="64" fillId="0" borderId="108" xfId="106" applyFont="1" applyBorder="1" applyAlignment="1">
      <alignment vertical="center"/>
    </xf>
    <xf numFmtId="0" fontId="64" fillId="0" borderId="0" xfId="106" applyFont="1" applyAlignment="1">
      <alignment horizontal="center" vertical="center"/>
    </xf>
    <xf numFmtId="0" fontId="59" fillId="0" borderId="20" xfId="1150" applyFont="1" applyBorder="1" applyAlignment="1">
      <alignment vertical="center"/>
    </xf>
    <xf numFmtId="0" fontId="65" fillId="27" borderId="64" xfId="1150" applyFont="1" applyFill="1" applyBorder="1" applyAlignment="1">
      <alignment horizontal="left" vertical="center"/>
    </xf>
    <xf numFmtId="0" fontId="65" fillId="27" borderId="71" xfId="1150" applyFont="1" applyFill="1" applyBorder="1" applyAlignment="1">
      <alignment horizontal="center" vertical="center"/>
    </xf>
    <xf numFmtId="0" fontId="65" fillId="27" borderId="59" xfId="1150" applyFont="1" applyFill="1" applyBorder="1" applyAlignment="1">
      <alignment horizontal="left" vertical="center"/>
    </xf>
    <xf numFmtId="0" fontId="60" fillId="0" borderId="111" xfId="1150" applyFont="1" applyBorder="1" applyAlignment="1">
      <alignment vertical="center"/>
    </xf>
    <xf numFmtId="0" fontId="0" fillId="0" borderId="58" xfId="1150" applyFont="1" applyBorder="1" applyAlignment="1">
      <alignment vertical="center"/>
    </xf>
    <xf numFmtId="0" fontId="60" fillId="0" borderId="112" xfId="1150" applyFont="1" applyBorder="1" applyAlignment="1">
      <alignment vertical="center"/>
    </xf>
    <xf numFmtId="167" fontId="60" fillId="29" borderId="10" xfId="1151" applyNumberFormat="1" applyFont="1" applyFill="1" applyBorder="1" applyAlignment="1" applyProtection="1">
      <alignment horizontal="center" vertical="center"/>
      <protection locked="0"/>
    </xf>
    <xf numFmtId="0" fontId="60" fillId="0" borderId="23" xfId="1150" applyFont="1" applyBorder="1" applyAlignment="1">
      <alignment vertical="center"/>
    </xf>
    <xf numFmtId="0" fontId="60" fillId="0" borderId="113" xfId="1150" applyFont="1" applyBorder="1" applyAlignment="1" applyProtection="1">
      <alignment vertical="center"/>
      <protection locked="0"/>
    </xf>
    <xf numFmtId="0" fontId="0" fillId="0" borderId="0" xfId="1150" applyFont="1" applyAlignment="1">
      <alignment vertical="center"/>
    </xf>
    <xf numFmtId="0" fontId="15" fillId="29" borderId="10" xfId="1151" applyFont="1" applyFill="1" applyBorder="1" applyAlignment="1">
      <alignment horizontal="right" vertical="center"/>
    </xf>
    <xf numFmtId="0" fontId="0" fillId="0" borderId="33" xfId="1150" applyFont="1" applyBorder="1" applyAlignment="1">
      <alignment horizontal="left" vertical="center" wrapText="1"/>
    </xf>
    <xf numFmtId="0" fontId="60" fillId="0" borderId="18" xfId="1150" applyFont="1" applyBorder="1" applyAlignment="1">
      <alignment vertical="center"/>
    </xf>
    <xf numFmtId="0" fontId="60" fillId="0" borderId="47" xfId="1150" applyFont="1" applyBorder="1" applyAlignment="1" applyProtection="1">
      <alignment vertical="center"/>
      <protection locked="0"/>
    </xf>
    <xf numFmtId="0" fontId="0" fillId="0" borderId="23" xfId="1150" applyFont="1" applyBorder="1" applyAlignment="1">
      <alignment vertical="center"/>
    </xf>
    <xf numFmtId="0" fontId="4" fillId="0" borderId="33" xfId="1150" applyBorder="1"/>
    <xf numFmtId="0" fontId="60" fillId="0" borderId="50" xfId="1150" applyFont="1" applyBorder="1" applyAlignment="1">
      <alignment vertical="center"/>
    </xf>
    <xf numFmtId="0" fontId="60" fillId="0" borderId="51" xfId="1150" applyFont="1" applyBorder="1" applyAlignment="1">
      <alignment vertical="center"/>
    </xf>
    <xf numFmtId="0" fontId="60" fillId="0" borderId="56" xfId="1150" applyFont="1" applyBorder="1" applyAlignment="1" applyProtection="1">
      <alignment vertical="center"/>
      <protection locked="0"/>
    </xf>
    <xf numFmtId="0" fontId="0" fillId="0" borderId="51" xfId="1150" applyFont="1" applyBorder="1" applyAlignment="1">
      <alignment vertical="center"/>
    </xf>
    <xf numFmtId="0" fontId="0" fillId="0" borderId="19" xfId="1150" applyFont="1" applyBorder="1" applyAlignment="1">
      <alignment horizontal="left" vertical="center" wrapText="1"/>
    </xf>
    <xf numFmtId="0" fontId="60" fillId="0" borderId="78" xfId="1150" applyFont="1" applyBorder="1" applyAlignment="1">
      <alignment vertical="center"/>
    </xf>
    <xf numFmtId="0" fontId="0" fillId="0" borderId="78" xfId="1150" applyFont="1" applyBorder="1" applyAlignment="1">
      <alignment vertical="center"/>
    </xf>
    <xf numFmtId="0" fontId="60" fillId="0" borderId="98" xfId="1150" applyFont="1" applyBorder="1" applyAlignment="1">
      <alignment vertical="center"/>
    </xf>
    <xf numFmtId="0" fontId="0" fillId="0" borderId="24" xfId="1150" applyFont="1" applyBorder="1" applyAlignment="1">
      <alignment vertical="center"/>
    </xf>
    <xf numFmtId="0" fontId="15" fillId="29" borderId="39" xfId="1151" applyFont="1" applyFill="1" applyBorder="1" applyAlignment="1">
      <alignment horizontal="right" vertical="center"/>
    </xf>
    <xf numFmtId="0" fontId="0" fillId="0" borderId="25" xfId="1150" applyFont="1" applyBorder="1" applyAlignment="1">
      <alignment vertical="center"/>
    </xf>
    <xf numFmtId="0" fontId="84" fillId="0" borderId="28" xfId="1150" applyFont="1" applyBorder="1" applyAlignment="1">
      <alignment horizontal="left" vertical="center" wrapText="1"/>
    </xf>
    <xf numFmtId="0" fontId="60" fillId="0" borderId="27" xfId="1150" applyFont="1" applyBorder="1" applyAlignment="1">
      <alignment vertical="center"/>
    </xf>
    <xf numFmtId="0" fontId="60" fillId="0" borderId="0" xfId="1151" applyFont="1" applyFill="1" applyBorder="1" applyAlignment="1">
      <alignment vertical="center"/>
    </xf>
    <xf numFmtId="0" fontId="60" fillId="0" borderId="22" xfId="1150" applyFont="1" applyBorder="1" applyAlignment="1">
      <alignment horizontal="left" vertical="center" wrapText="1"/>
    </xf>
    <xf numFmtId="0" fontId="60" fillId="0" borderId="15" xfId="1150" applyFont="1" applyBorder="1" applyAlignment="1">
      <alignment vertical="center"/>
    </xf>
    <xf numFmtId="0" fontId="60" fillId="0" borderId="0" xfId="1150" applyFont="1" applyAlignment="1">
      <alignment horizontal="left" vertical="center" wrapText="1"/>
    </xf>
    <xf numFmtId="0" fontId="59" fillId="0" borderId="27" xfId="1150" applyFont="1" applyBorder="1" applyAlignment="1">
      <alignment vertical="center"/>
    </xf>
    <xf numFmtId="0" fontId="59" fillId="0" borderId="15" xfId="1150" applyFont="1" applyBorder="1" applyAlignment="1">
      <alignment vertical="center"/>
    </xf>
    <xf numFmtId="0" fontId="65" fillId="27" borderId="94" xfId="1152" applyFont="1" applyFill="1" applyBorder="1" applyAlignment="1">
      <alignment horizontal="left" vertical="center"/>
    </xf>
    <xf numFmtId="0" fontId="65" fillId="27" borderId="10" xfId="1152" applyFont="1" applyFill="1" applyBorder="1" applyAlignment="1">
      <alignment horizontal="center" vertical="center"/>
    </xf>
    <xf numFmtId="0" fontId="65" fillId="27" borderId="46" xfId="1152" applyFont="1" applyFill="1" applyBorder="1" applyAlignment="1">
      <alignment horizontal="left" vertical="center"/>
    </xf>
    <xf numFmtId="167" fontId="60" fillId="26" borderId="10" xfId="1153" applyNumberFormat="1" applyFont="1" applyFill="1" applyBorder="1" applyAlignment="1">
      <alignment horizontal="center" vertical="center"/>
    </xf>
    <xf numFmtId="0" fontId="60" fillId="0" borderId="51" xfId="1150" quotePrefix="1" applyFont="1" applyBorder="1" applyAlignment="1">
      <alignment vertical="center"/>
    </xf>
    <xf numFmtId="167" fontId="15" fillId="26" borderId="10" xfId="1153" applyNumberFormat="1" applyFont="1" applyFill="1" applyBorder="1" applyAlignment="1">
      <alignment horizontal="right" vertical="center"/>
    </xf>
    <xf numFmtId="0" fontId="60" fillId="0" borderId="0" xfId="1150" applyFont="1" applyAlignment="1">
      <alignment vertical="center"/>
    </xf>
    <xf numFmtId="0" fontId="62" fillId="26" borderId="114" xfId="1150" applyFont="1" applyFill="1" applyBorder="1" applyAlignment="1">
      <alignment vertical="center"/>
    </xf>
    <xf numFmtId="1" fontId="64" fillId="26" borderId="48" xfId="1153" applyNumberFormat="1" applyFont="1" applyFill="1" applyBorder="1" applyAlignment="1">
      <alignment horizontal="center" vertical="center"/>
    </xf>
    <xf numFmtId="0" fontId="61" fillId="0" borderId="34" xfId="1150" applyFont="1" applyBorder="1" applyAlignment="1">
      <alignment vertical="center"/>
    </xf>
    <xf numFmtId="0" fontId="61" fillId="0" borderId="0" xfId="1150" applyFont="1" applyAlignment="1">
      <alignment vertical="center"/>
    </xf>
    <xf numFmtId="0" fontId="62" fillId="26" borderId="115" xfId="1150" applyFont="1" applyFill="1" applyBorder="1" applyAlignment="1">
      <alignment vertical="center"/>
    </xf>
    <xf numFmtId="1" fontId="20" fillId="26" borderId="12" xfId="1153" applyNumberFormat="1" applyFont="1" applyFill="1" applyBorder="1" applyAlignment="1">
      <alignment horizontal="center" vertical="center"/>
    </xf>
    <xf numFmtId="0" fontId="74" fillId="0" borderId="78" xfId="1150" applyFont="1" applyBorder="1" applyAlignment="1">
      <alignment vertical="center"/>
    </xf>
    <xf numFmtId="1" fontId="64" fillId="26" borderId="38" xfId="1153" applyNumberFormat="1" applyFont="1" applyFill="1" applyBorder="1" applyAlignment="1">
      <alignment horizontal="center" vertical="center"/>
    </xf>
    <xf numFmtId="0" fontId="61" fillId="0" borderId="21" xfId="1150" applyFont="1" applyBorder="1" applyAlignment="1">
      <alignment vertical="center"/>
    </xf>
    <xf numFmtId="0" fontId="62" fillId="26" borderId="116" xfId="1150" applyFont="1" applyFill="1" applyBorder="1" applyAlignment="1">
      <alignment vertical="center"/>
    </xf>
    <xf numFmtId="0" fontId="61" fillId="0" borderId="15" xfId="1150" applyFont="1" applyBorder="1" applyAlignment="1">
      <alignment vertical="center"/>
    </xf>
    <xf numFmtId="0" fontId="62" fillId="26" borderId="40" xfId="1150" applyFont="1" applyFill="1" applyBorder="1" applyAlignment="1">
      <alignment vertical="center"/>
    </xf>
    <xf numFmtId="1" fontId="64" fillId="26" borderId="117" xfId="1153" applyNumberFormat="1" applyFont="1" applyFill="1" applyBorder="1" applyAlignment="1">
      <alignment horizontal="center" vertical="center"/>
    </xf>
    <xf numFmtId="0" fontId="60" fillId="0" borderId="21" xfId="1150" applyFont="1" applyBorder="1" applyAlignment="1">
      <alignment vertical="center"/>
    </xf>
    <xf numFmtId="0" fontId="59" fillId="0" borderId="0" xfId="1150" applyFont="1"/>
    <xf numFmtId="0" fontId="0" fillId="0" borderId="15" xfId="1150" applyFont="1" applyBorder="1" applyAlignment="1">
      <alignment vertical="center"/>
    </xf>
    <xf numFmtId="0" fontId="62" fillId="26" borderId="118" xfId="1150" applyFont="1" applyFill="1" applyBorder="1" applyAlignment="1">
      <alignment vertical="center"/>
    </xf>
    <xf numFmtId="0" fontId="60" fillId="0" borderId="13" xfId="1150" applyFont="1" applyBorder="1" applyAlignment="1">
      <alignment horizontal="center" vertical="center"/>
    </xf>
    <xf numFmtId="0" fontId="0" fillId="0" borderId="13" xfId="1150" applyFont="1" applyBorder="1" applyAlignment="1">
      <alignment horizontal="center" vertical="center"/>
    </xf>
    <xf numFmtId="0" fontId="62" fillId="0" borderId="16" xfId="1150" applyFont="1" applyBorder="1" applyAlignment="1">
      <alignment vertical="center"/>
    </xf>
    <xf numFmtId="0" fontId="62" fillId="0" borderId="71" xfId="1150" applyFont="1" applyBorder="1" applyAlignment="1">
      <alignment horizontal="center" vertical="center"/>
    </xf>
    <xf numFmtId="0" fontId="62" fillId="0" borderId="72" xfId="1150" applyFont="1" applyBorder="1" applyAlignment="1">
      <alignment horizontal="center" vertical="center"/>
    </xf>
    <xf numFmtId="0" fontId="62" fillId="0" borderId="18" xfId="1150" applyFont="1" applyBorder="1" applyAlignment="1">
      <alignment vertical="center"/>
    </xf>
    <xf numFmtId="1" fontId="20" fillId="0" borderId="10" xfId="1153" applyNumberFormat="1" applyFont="1" applyBorder="1" applyAlignment="1">
      <alignment horizontal="center" vertical="center"/>
    </xf>
    <xf numFmtId="0" fontId="61" fillId="0" borderId="23" xfId="1150" applyFont="1" applyBorder="1" applyAlignment="1">
      <alignment horizontal="center" vertical="center"/>
    </xf>
    <xf numFmtId="0" fontId="59" fillId="0" borderId="0" xfId="1150" applyFont="1" applyAlignment="1">
      <alignment horizontal="left"/>
    </xf>
    <xf numFmtId="0" fontId="62" fillId="0" borderId="24" xfId="1150" applyFont="1" applyBorder="1" applyAlignment="1">
      <alignment vertical="center"/>
    </xf>
    <xf numFmtId="1" fontId="20" fillId="0" borderId="39" xfId="1153" applyNumberFormat="1" applyFont="1" applyBorder="1" applyAlignment="1">
      <alignment horizontal="center" vertical="center"/>
    </xf>
    <xf numFmtId="0" fontId="61" fillId="0" borderId="25" xfId="1150" applyFont="1" applyBorder="1" applyAlignment="1">
      <alignment horizontal="center" vertical="center"/>
    </xf>
    <xf numFmtId="0" fontId="59" fillId="0" borderId="0" xfId="1153" applyFont="1"/>
    <xf numFmtId="0" fontId="59" fillId="26" borderId="0" xfId="1153" applyFont="1" applyFill="1"/>
    <xf numFmtId="0" fontId="65" fillId="26" borderId="0" xfId="1153" applyFont="1" applyFill="1" applyAlignment="1">
      <alignment horizontal="center"/>
    </xf>
    <xf numFmtId="0" fontId="65" fillId="26" borderId="0" xfId="1153" applyFont="1" applyFill="1"/>
    <xf numFmtId="0" fontId="51" fillId="26" borderId="0" xfId="1153" applyFont="1" applyFill="1"/>
    <xf numFmtId="0" fontId="59" fillId="26" borderId="10" xfId="1153" applyFont="1" applyFill="1" applyBorder="1" applyAlignment="1">
      <alignment horizontal="center" vertical="center"/>
    </xf>
    <xf numFmtId="0" fontId="59" fillId="26" borderId="0" xfId="1153" applyFont="1" applyFill="1" applyAlignment="1">
      <alignment horizontal="center" vertical="center"/>
    </xf>
    <xf numFmtId="167" fontId="59" fillId="26" borderId="10" xfId="1153" applyNumberFormat="1" applyFont="1" applyFill="1" applyBorder="1"/>
    <xf numFmtId="167" fontId="59" fillId="26" borderId="0" xfId="1153" applyNumberFormat="1" applyFont="1" applyFill="1"/>
    <xf numFmtId="167" fontId="59" fillId="0" borderId="0" xfId="1153" applyNumberFormat="1" applyFont="1"/>
    <xf numFmtId="164" fontId="62" fillId="0" borderId="10" xfId="0" applyNumberFormat="1" applyFont="1" applyBorder="1" applyAlignment="1">
      <alignment horizontal="center" vertical="center"/>
    </xf>
    <xf numFmtId="0" fontId="62" fillId="0" borderId="10" xfId="0" applyFont="1" applyBorder="1" applyAlignment="1">
      <alignment horizontal="center" vertical="center" wrapText="1"/>
    </xf>
    <xf numFmtId="0" fontId="19" fillId="0" borderId="36" xfId="0" applyFont="1" applyBorder="1" applyAlignment="1">
      <alignment horizontal="center" vertical="center"/>
    </xf>
    <xf numFmtId="1" fontId="20" fillId="29" borderId="72" xfId="0" applyNumberFormat="1" applyFont="1" applyFill="1" applyBorder="1" applyAlignment="1" applyProtection="1">
      <alignment horizontal="center" vertical="center" wrapText="1"/>
      <protection locked="0"/>
    </xf>
    <xf numFmtId="14" fontId="20" fillId="29" borderId="25" xfId="0" applyNumberFormat="1" applyFont="1" applyFill="1" applyBorder="1" applyAlignment="1" applyProtection="1">
      <alignment horizontal="center" vertical="center" wrapText="1"/>
      <protection locked="0"/>
    </xf>
    <xf numFmtId="0" fontId="15" fillId="29" borderId="43" xfId="106" applyFill="1" applyBorder="1" applyAlignment="1" applyProtection="1">
      <alignment horizontal="center" vertical="center"/>
      <protection locked="0"/>
    </xf>
    <xf numFmtId="1" fontId="54" fillId="34" borderId="42" xfId="0" applyNumberFormat="1" applyFont="1" applyFill="1" applyBorder="1" applyAlignment="1">
      <alignment horizontal="center" vertical="center" wrapText="1"/>
    </xf>
    <xf numFmtId="0" fontId="20" fillId="0" borderId="0" xfId="1155" applyFont="1" applyAlignment="1">
      <alignment horizontal="center" vertical="center"/>
    </xf>
    <xf numFmtId="0" fontId="15" fillId="0" borderId="108" xfId="0" applyFont="1" applyBorder="1" applyAlignment="1">
      <alignment horizontal="center" vertical="center" wrapText="1"/>
    </xf>
    <xf numFmtId="165" fontId="46" fillId="33" borderId="110" xfId="0" applyNumberFormat="1" applyFont="1" applyFill="1" applyBorder="1" applyAlignment="1">
      <alignment horizontal="center" vertical="center" wrapText="1"/>
    </xf>
    <xf numFmtId="1" fontId="46" fillId="33" borderId="119" xfId="0" applyNumberFormat="1" applyFont="1" applyFill="1" applyBorder="1" applyAlignment="1">
      <alignment horizontal="center" vertical="center" wrapText="1"/>
    </xf>
    <xf numFmtId="0" fontId="16" fillId="0" borderId="10" xfId="0" applyFont="1" applyBorder="1" applyAlignment="1">
      <alignment wrapText="1"/>
    </xf>
    <xf numFmtId="0" fontId="16" fillId="0" borderId="16" xfId="0" applyFont="1" applyBorder="1" applyAlignment="1">
      <alignment wrapText="1"/>
    </xf>
    <xf numFmtId="0" fontId="16" fillId="0" borderId="24" xfId="0" applyFont="1" applyBorder="1" applyAlignment="1">
      <alignment wrapText="1"/>
    </xf>
    <xf numFmtId="0" fontId="19" fillId="0" borderId="50" xfId="0" applyFont="1" applyBorder="1" applyAlignment="1">
      <alignment horizontal="center" vertical="center"/>
    </xf>
    <xf numFmtId="0" fontId="19" fillId="0" borderId="42" xfId="0" applyFont="1" applyBorder="1" applyAlignment="1">
      <alignment horizontal="center" vertical="center" wrapText="1"/>
    </xf>
    <xf numFmtId="166" fontId="19" fillId="0" borderId="42" xfId="85" applyNumberFormat="1" applyFont="1" applyBorder="1" applyAlignment="1" applyProtection="1">
      <alignment horizontal="center" vertical="center" wrapText="1"/>
    </xf>
    <xf numFmtId="0" fontId="15" fillId="0" borderId="47" xfId="106" applyBorder="1" applyAlignment="1" applyProtection="1">
      <alignment horizontal="center" vertical="center" wrapText="1"/>
      <protection locked="0"/>
    </xf>
    <xf numFmtId="0" fontId="59" fillId="0" borderId="10" xfId="144" applyFont="1" applyBorder="1" applyAlignment="1" applyProtection="1">
      <alignment horizontal="center" vertical="center"/>
      <protection locked="0"/>
    </xf>
    <xf numFmtId="0" fontId="15" fillId="0" borderId="10" xfId="144" applyFont="1" applyBorder="1" applyAlignment="1" applyProtection="1">
      <alignment horizontal="center" vertical="center" wrapText="1"/>
      <protection locked="0"/>
    </xf>
    <xf numFmtId="0" fontId="15" fillId="0" borderId="10" xfId="144" applyFont="1" applyBorder="1" applyAlignment="1" applyProtection="1">
      <alignment horizontal="center" vertical="center"/>
      <protection locked="0"/>
    </xf>
    <xf numFmtId="0" fontId="15" fillId="0" borderId="50" xfId="106" applyBorder="1" applyAlignment="1" applyProtection="1">
      <alignment horizontal="center" vertical="center" wrapText="1"/>
      <protection locked="0"/>
    </xf>
    <xf numFmtId="0" fontId="15" fillId="0" borderId="18" xfId="106" applyBorder="1" applyAlignment="1" applyProtection="1">
      <alignment horizontal="center" vertical="center" wrapText="1"/>
      <protection locked="0"/>
    </xf>
    <xf numFmtId="0" fontId="15" fillId="0" borderId="56" xfId="106" applyBorder="1" applyAlignment="1" applyProtection="1">
      <alignment horizontal="center" vertical="center" wrapText="1"/>
      <protection locked="0"/>
    </xf>
    <xf numFmtId="165" fontId="19" fillId="0" borderId="50" xfId="0" applyNumberFormat="1" applyFont="1" applyBorder="1" applyAlignment="1">
      <alignment horizontal="center" vertical="center" wrapText="1"/>
    </xf>
    <xf numFmtId="1" fontId="20" fillId="26" borderId="51" xfId="0" applyNumberFormat="1" applyFont="1" applyFill="1" applyBorder="1" applyAlignment="1">
      <alignment horizontal="center" vertical="center" wrapText="1"/>
    </xf>
    <xf numFmtId="0" fontId="15" fillId="0" borderId="19" xfId="0" applyFont="1" applyBorder="1" applyAlignment="1">
      <alignment vertical="center" wrapText="1"/>
    </xf>
    <xf numFmtId="0" fontId="20" fillId="0" borderId="108" xfId="106" applyFont="1" applyBorder="1" applyAlignment="1">
      <alignment horizontal="left"/>
    </xf>
    <xf numFmtId="0" fontId="19" fillId="28" borderId="10" xfId="106" applyFont="1" applyFill="1" applyBorder="1" applyAlignment="1">
      <alignment horizontal="center" vertical="center"/>
    </xf>
    <xf numFmtId="0" fontId="65" fillId="0" borderId="40" xfId="1145" applyFont="1" applyBorder="1" applyAlignment="1">
      <alignment horizontal="center" vertical="center"/>
    </xf>
    <xf numFmtId="0" fontId="65" fillId="0" borderId="48" xfId="1145" applyFont="1" applyBorder="1" applyAlignment="1">
      <alignment horizontal="center" vertical="center"/>
    </xf>
    <xf numFmtId="0" fontId="65" fillId="0" borderId="54" xfId="1145" applyFont="1" applyBorder="1" applyAlignment="1">
      <alignment horizontal="center" vertical="center"/>
    </xf>
    <xf numFmtId="0" fontId="49" fillId="27" borderId="12" xfId="1144" applyFont="1" applyFill="1" applyBorder="1" applyAlignment="1">
      <alignment horizontal="center" vertical="center"/>
    </xf>
    <xf numFmtId="0" fontId="60" fillId="0" borderId="0" xfId="0" applyFont="1" applyAlignment="1">
      <alignment horizontal="center" vertical="center"/>
    </xf>
    <xf numFmtId="0" fontId="16" fillId="0" borderId="0" xfId="106" applyFont="1" applyAlignment="1">
      <alignment horizontal="center" vertical="center" wrapText="1"/>
    </xf>
    <xf numFmtId="0" fontId="19" fillId="0" borderId="0" xfId="106" applyFont="1" applyAlignment="1">
      <alignment vertical="center"/>
    </xf>
    <xf numFmtId="0" fontId="15" fillId="29" borderId="54" xfId="106" applyFill="1" applyBorder="1" applyAlignment="1">
      <alignment horizontal="center" vertical="center"/>
    </xf>
    <xf numFmtId="0" fontId="19" fillId="28" borderId="12" xfId="106" applyFont="1" applyFill="1" applyBorder="1" applyAlignment="1">
      <alignment horizontal="center" vertical="center"/>
    </xf>
    <xf numFmtId="9" fontId="19" fillId="26" borderId="12" xfId="106" applyNumberFormat="1" applyFont="1" applyFill="1" applyBorder="1" applyAlignment="1">
      <alignment horizontal="center" vertical="center"/>
    </xf>
    <xf numFmtId="0" fontId="15" fillId="29" borderId="33" xfId="106" applyFill="1" applyBorder="1" applyAlignment="1" applyProtection="1">
      <alignment horizontal="center" vertical="center"/>
      <protection locked="0"/>
    </xf>
    <xf numFmtId="10" fontId="19" fillId="26" borderId="12" xfId="106" applyNumberFormat="1" applyFont="1" applyFill="1" applyBorder="1" applyAlignment="1">
      <alignment horizontal="center" vertical="center"/>
    </xf>
    <xf numFmtId="0" fontId="16" fillId="0" borderId="0" xfId="106" applyFont="1" applyAlignment="1">
      <alignment horizontal="center" vertical="center"/>
    </xf>
    <xf numFmtId="0" fontId="19" fillId="27" borderId="10" xfId="106" applyFont="1" applyFill="1" applyBorder="1" applyAlignment="1">
      <alignment vertical="center" wrapText="1"/>
    </xf>
    <xf numFmtId="0" fontId="19" fillId="27" borderId="10" xfId="106" applyFont="1" applyFill="1" applyBorder="1" applyAlignment="1">
      <alignment vertical="center"/>
    </xf>
    <xf numFmtId="0" fontId="15" fillId="27" borderId="10" xfId="106" applyFill="1" applyBorder="1" applyAlignment="1">
      <alignment vertical="center"/>
    </xf>
    <xf numFmtId="0" fontId="19" fillId="26" borderId="10" xfId="106" applyFont="1" applyFill="1" applyBorder="1" applyAlignment="1">
      <alignment horizontal="center" vertical="center"/>
    </xf>
    <xf numFmtId="0" fontId="0" fillId="0" borderId="0" xfId="0" applyAlignment="1">
      <alignment horizontal="center" vertical="center" wrapText="1"/>
    </xf>
    <xf numFmtId="0" fontId="15" fillId="0" borderId="0" xfId="106" quotePrefix="1" applyAlignment="1">
      <alignment vertical="center"/>
    </xf>
    <xf numFmtId="0" fontId="62" fillId="43" borderId="10" xfId="0" applyFont="1" applyFill="1" applyBorder="1" applyAlignment="1">
      <alignment horizontal="center" vertical="center" wrapText="1"/>
    </xf>
    <xf numFmtId="0" fontId="19" fillId="0" borderId="0" xfId="106" applyFont="1" applyAlignment="1">
      <alignment horizontal="center" vertical="center"/>
    </xf>
    <xf numFmtId="168" fontId="93" fillId="26" borderId="10" xfId="106" applyNumberFormat="1" applyFont="1" applyFill="1" applyBorder="1" applyAlignment="1">
      <alignment horizontal="center" vertical="center" wrapText="1"/>
    </xf>
    <xf numFmtId="0" fontId="93" fillId="0" borderId="0" xfId="106" applyFont="1" applyAlignment="1">
      <alignment horizontal="center" vertical="center" wrapText="1"/>
    </xf>
    <xf numFmtId="0" fontId="62" fillId="0" borderId="0" xfId="0" applyFont="1" applyAlignment="1">
      <alignment horizontal="center" vertical="center"/>
    </xf>
    <xf numFmtId="0" fontId="19" fillId="0" borderId="0" xfId="106" applyFont="1" applyAlignment="1">
      <alignment horizontal="center" vertical="center" wrapText="1"/>
    </xf>
    <xf numFmtId="0" fontId="19" fillId="28" borderId="12" xfId="106" applyFont="1" applyFill="1" applyBorder="1" applyAlignment="1">
      <alignment horizontal="center" vertical="center" wrapText="1"/>
    </xf>
    <xf numFmtId="0" fontId="19" fillId="28" borderId="123" xfId="106" applyFont="1" applyFill="1" applyBorder="1" applyAlignment="1">
      <alignment horizontal="center" vertical="center" wrapText="1"/>
    </xf>
    <xf numFmtId="0" fontId="19" fillId="28" borderId="54" xfId="106" applyFont="1" applyFill="1" applyBorder="1" applyAlignment="1">
      <alignment horizontal="center" vertical="center" wrapText="1"/>
    </xf>
    <xf numFmtId="0" fontId="19" fillId="28" borderId="34" xfId="106" applyFont="1" applyFill="1" applyBorder="1" applyAlignment="1">
      <alignment vertical="center"/>
    </xf>
    <xf numFmtId="0" fontId="93" fillId="0" borderId="76" xfId="106" applyFont="1" applyBorder="1" applyAlignment="1">
      <alignment horizontal="center" vertical="center" wrapText="1"/>
    </xf>
    <xf numFmtId="0" fontId="15" fillId="0" borderId="42" xfId="106" applyBorder="1" applyAlignment="1">
      <alignment horizontal="right"/>
    </xf>
    <xf numFmtId="1" fontId="93" fillId="26" borderId="19" xfId="106" applyNumberFormat="1" applyFont="1" applyFill="1" applyBorder="1" applyAlignment="1">
      <alignment horizontal="center" vertical="center" wrapText="1"/>
    </xf>
    <xf numFmtId="1" fontId="94" fillId="26" borderId="56" xfId="106" applyNumberFormat="1" applyFont="1" applyFill="1" applyBorder="1" applyAlignment="1">
      <alignment horizontal="center" vertical="center" wrapText="1"/>
    </xf>
    <xf numFmtId="0" fontId="93" fillId="0" borderId="27" xfId="106" applyFont="1" applyBorder="1" applyAlignment="1">
      <alignment horizontal="center" vertical="center" wrapText="1"/>
    </xf>
    <xf numFmtId="0" fontId="49" fillId="26" borderId="124" xfId="106" applyFont="1" applyFill="1" applyBorder="1"/>
    <xf numFmtId="0" fontId="49" fillId="26" borderId="123" xfId="106" applyFont="1" applyFill="1" applyBorder="1"/>
    <xf numFmtId="0" fontId="49" fillId="26" borderId="12" xfId="106" applyFont="1" applyFill="1" applyBorder="1"/>
    <xf numFmtId="0" fontId="49" fillId="26" borderId="122" xfId="106" applyFont="1" applyFill="1" applyBorder="1"/>
    <xf numFmtId="0" fontId="93" fillId="0" borderId="50" xfId="106" applyFont="1" applyBorder="1" applyAlignment="1">
      <alignment horizontal="center" vertical="center" wrapText="1"/>
    </xf>
    <xf numFmtId="167" fontId="51" fillId="29" borderId="28" xfId="1144" applyNumberFormat="1" applyFont="1" applyFill="1" applyBorder="1" applyAlignment="1" applyProtection="1">
      <alignment horizontal="center" vertical="center"/>
      <protection locked="0"/>
    </xf>
    <xf numFmtId="0" fontId="20" fillId="46" borderId="12" xfId="106" applyFont="1" applyFill="1" applyBorder="1" applyAlignment="1">
      <alignment vertical="center"/>
    </xf>
    <xf numFmtId="0" fontId="97" fillId="41" borderId="23" xfId="1150" applyFont="1" applyFill="1" applyBorder="1" applyAlignment="1">
      <alignment horizontal="center" vertical="center"/>
    </xf>
    <xf numFmtId="0" fontId="20" fillId="46" borderId="100" xfId="106" applyFont="1" applyFill="1" applyBorder="1" applyAlignment="1">
      <alignment vertical="center"/>
    </xf>
    <xf numFmtId="1" fontId="20" fillId="46" borderId="12" xfId="106" applyNumberFormat="1" applyFont="1" applyFill="1" applyBorder="1" applyAlignment="1">
      <alignment horizontal="center" vertical="center"/>
    </xf>
    <xf numFmtId="0" fontId="20" fillId="26" borderId="100" xfId="106" applyFont="1" applyFill="1" applyBorder="1" applyAlignment="1">
      <alignment vertical="center"/>
    </xf>
    <xf numFmtId="167" fontId="76" fillId="29" borderId="43" xfId="1144" applyNumberFormat="1" applyFont="1" applyFill="1" applyBorder="1" applyAlignment="1" applyProtection="1">
      <alignment horizontal="center" vertical="center"/>
      <protection locked="0"/>
    </xf>
    <xf numFmtId="0" fontId="15" fillId="0" borderId="75" xfId="106" applyBorder="1" applyAlignment="1">
      <alignment vertical="center"/>
    </xf>
    <xf numFmtId="167" fontId="51" fillId="29" borderId="13" xfId="1144" applyNumberFormat="1" applyFont="1" applyFill="1" applyBorder="1" applyAlignment="1" applyProtection="1">
      <alignment horizontal="center" vertical="center"/>
      <protection locked="0"/>
    </xf>
    <xf numFmtId="0" fontId="62" fillId="0" borderId="29" xfId="1150" applyFont="1" applyBorder="1" applyAlignment="1">
      <alignment vertical="center"/>
    </xf>
    <xf numFmtId="1" fontId="20" fillId="0" borderId="32" xfId="1153" applyNumberFormat="1" applyFont="1" applyBorder="1" applyAlignment="1">
      <alignment horizontal="center" vertical="center"/>
    </xf>
    <xf numFmtId="0" fontId="61" fillId="0" borderId="98" xfId="1150" applyFont="1" applyBorder="1" applyAlignment="1">
      <alignment horizontal="center" vertical="center"/>
    </xf>
    <xf numFmtId="0" fontId="62" fillId="0" borderId="125" xfId="1150" applyFont="1" applyBorder="1" applyAlignment="1">
      <alignment vertical="center"/>
    </xf>
    <xf numFmtId="1" fontId="20" fillId="0" borderId="125" xfId="1153" applyNumberFormat="1" applyFont="1" applyBorder="1" applyAlignment="1">
      <alignment horizontal="center" vertical="center"/>
    </xf>
    <xf numFmtId="0" fontId="61" fillId="0" borderId="125" xfId="1150" applyFont="1" applyBorder="1" applyAlignment="1">
      <alignment horizontal="center" vertical="center"/>
    </xf>
    <xf numFmtId="167" fontId="51" fillId="29" borderId="21" xfId="1144" applyNumberFormat="1" applyFont="1" applyFill="1" applyBorder="1" applyAlignment="1" applyProtection="1">
      <alignment horizontal="center" vertical="center"/>
      <protection locked="0"/>
    </xf>
    <xf numFmtId="167" fontId="51" fillId="29" borderId="126" xfId="1144" applyNumberFormat="1" applyFont="1" applyFill="1" applyBorder="1" applyAlignment="1" applyProtection="1">
      <alignment horizontal="center" vertical="center"/>
      <protection locked="0"/>
    </xf>
    <xf numFmtId="166" fontId="91" fillId="0" borderId="32" xfId="85" applyNumberFormat="1" applyFont="1" applyFill="1" applyBorder="1" applyAlignment="1" applyProtection="1">
      <alignment horizontal="center" vertical="center" wrapText="1"/>
    </xf>
    <xf numFmtId="0" fontId="15" fillId="29" borderId="33" xfId="1156" applyFont="1" applyFill="1" applyBorder="1" applyAlignment="1" applyProtection="1">
      <alignment horizontal="center" vertical="center" wrapText="1"/>
      <protection locked="0"/>
    </xf>
    <xf numFmtId="0" fontId="51" fillId="27" borderId="58" xfId="1144" applyFont="1" applyFill="1" applyBorder="1" applyAlignment="1">
      <alignment horizontal="center" vertical="center"/>
    </xf>
    <xf numFmtId="0" fontId="15" fillId="0" borderId="11" xfId="106" applyBorder="1" applyAlignment="1">
      <alignment horizontal="left" vertical="center" wrapText="1"/>
    </xf>
    <xf numFmtId="0" fontId="19" fillId="28" borderId="10" xfId="106" applyFont="1" applyFill="1" applyBorder="1" applyAlignment="1">
      <alignment horizontal="left" vertical="center"/>
    </xf>
    <xf numFmtId="0" fontId="93" fillId="0" borderId="18" xfId="106" applyFont="1" applyBorder="1" applyAlignment="1">
      <alignment horizontal="center" vertical="center" wrapText="1"/>
    </xf>
    <xf numFmtId="0" fontId="94" fillId="0" borderId="10" xfId="106" applyFont="1" applyBorder="1" applyAlignment="1">
      <alignment horizontal="center" vertical="center" wrapText="1"/>
    </xf>
    <xf numFmtId="0" fontId="94" fillId="0" borderId="11" xfId="106" applyFont="1" applyBorder="1" applyAlignment="1">
      <alignment horizontal="center" vertical="center" wrapText="1"/>
    </xf>
    <xf numFmtId="0" fontId="19" fillId="27" borderId="10" xfId="106" applyFont="1" applyFill="1" applyBorder="1" applyAlignment="1">
      <alignment horizontal="center" vertical="center"/>
    </xf>
    <xf numFmtId="1" fontId="95" fillId="26" borderId="10" xfId="106" applyNumberFormat="1" applyFont="1" applyFill="1" applyBorder="1" applyAlignment="1">
      <alignment horizontal="center" vertical="center" wrapText="1"/>
    </xf>
    <xf numFmtId="0" fontId="15" fillId="0" borderId="10" xfId="106" applyBorder="1" applyAlignment="1">
      <alignment horizontal="center" vertical="center" wrapText="1"/>
    </xf>
    <xf numFmtId="168" fontId="95" fillId="26" borderId="10" xfId="106" applyNumberFormat="1" applyFont="1" applyFill="1" applyBorder="1" applyAlignment="1">
      <alignment horizontal="center" vertical="center" wrapText="1"/>
    </xf>
    <xf numFmtId="0" fontId="15" fillId="0" borderId="18" xfId="106" applyBorder="1" applyAlignment="1">
      <alignment vertical="center"/>
    </xf>
    <xf numFmtId="0" fontId="51" fillId="0" borderId="33" xfId="1144" applyFont="1" applyFill="1" applyBorder="1" applyAlignment="1">
      <alignment horizontal="center" vertical="center"/>
    </xf>
    <xf numFmtId="0" fontId="19" fillId="0" borderId="10" xfId="106" applyFont="1" applyBorder="1" applyAlignment="1">
      <alignment horizontal="center" vertical="center" wrapText="1"/>
    </xf>
    <xf numFmtId="0" fontId="51" fillId="26" borderId="10" xfId="106" applyFont="1" applyFill="1" applyBorder="1" applyAlignment="1">
      <alignment horizontal="center" vertical="center"/>
    </xf>
    <xf numFmtId="0" fontId="93" fillId="0" borderId="29" xfId="106" applyFont="1" applyBorder="1" applyAlignment="1">
      <alignment horizontal="center" vertical="center" wrapText="1"/>
    </xf>
    <xf numFmtId="0" fontId="94" fillId="0" borderId="32" xfId="106" applyFont="1" applyBorder="1" applyAlignment="1">
      <alignment horizontal="center" vertical="center" wrapText="1"/>
    </xf>
    <xf numFmtId="0" fontId="94" fillId="0" borderId="30" xfId="106" applyFont="1" applyBorder="1" applyAlignment="1">
      <alignment horizontal="center" vertical="center" wrapText="1"/>
    </xf>
    <xf numFmtId="0" fontId="16" fillId="0" borderId="10" xfId="106" applyFont="1" applyBorder="1" applyAlignment="1">
      <alignment horizontal="center" vertical="center" wrapText="1"/>
    </xf>
    <xf numFmtId="0" fontId="16" fillId="0" borderId="10" xfId="106" applyFont="1" applyBorder="1" applyAlignment="1">
      <alignment vertical="center"/>
    </xf>
    <xf numFmtId="0" fontId="60" fillId="0" borderId="0" xfId="1143" applyAlignment="1">
      <alignment horizontal="center" vertical="center"/>
    </xf>
    <xf numFmtId="165" fontId="20" fillId="0" borderId="0" xfId="1143" applyNumberFormat="1" applyFont="1" applyAlignment="1">
      <alignment horizontal="center" vertical="center"/>
    </xf>
    <xf numFmtId="165" fontId="20" fillId="0" borderId="10" xfId="1143" applyNumberFormat="1" applyFont="1" applyBorder="1" applyAlignment="1">
      <alignment horizontal="center" vertical="center"/>
    </xf>
    <xf numFmtId="165" fontId="20" fillId="0" borderId="10" xfId="1143" applyNumberFormat="1" applyFont="1" applyBorder="1" applyAlignment="1">
      <alignment horizontal="center" vertical="center" wrapText="1"/>
    </xf>
    <xf numFmtId="0" fontId="60" fillId="47" borderId="42" xfId="1143" applyFill="1" applyBorder="1"/>
    <xf numFmtId="1" fontId="46" fillId="47" borderId="42" xfId="1143" applyNumberFormat="1" applyFont="1" applyFill="1" applyBorder="1" applyAlignment="1">
      <alignment horizontal="center" vertical="center" wrapText="1"/>
    </xf>
    <xf numFmtId="0" fontId="46" fillId="47" borderId="42" xfId="1143" applyFont="1" applyFill="1" applyBorder="1" applyAlignment="1">
      <alignment horizontal="center" vertical="center" wrapText="1"/>
    </xf>
    <xf numFmtId="0" fontId="46" fillId="47" borderId="56" xfId="1143" applyFont="1" applyFill="1" applyBorder="1" applyAlignment="1">
      <alignment horizontal="center" vertical="center" wrapText="1"/>
    </xf>
    <xf numFmtId="0" fontId="46" fillId="47" borderId="20" xfId="1143" applyFont="1" applyFill="1" applyBorder="1" applyAlignment="1">
      <alignment horizontal="center" vertical="center" wrapText="1"/>
    </xf>
    <xf numFmtId="0" fontId="46" fillId="47" borderId="75" xfId="1143" applyFont="1" applyFill="1" applyBorder="1" applyAlignment="1">
      <alignment horizontal="center" vertical="center" wrapText="1"/>
    </xf>
    <xf numFmtId="0" fontId="46" fillId="47" borderId="42" xfId="1143" applyFont="1" applyFill="1" applyBorder="1" applyAlignment="1">
      <alignment horizontal="left" vertical="center" wrapText="1"/>
    </xf>
    <xf numFmtId="0" fontId="60" fillId="0" borderId="44" xfId="1143" applyBorder="1"/>
    <xf numFmtId="0" fontId="60" fillId="0" borderId="44" xfId="1143" applyBorder="1" applyAlignment="1">
      <alignment horizontal="center"/>
    </xf>
    <xf numFmtId="0" fontId="62" fillId="0" borderId="44" xfId="1143" applyFont="1" applyBorder="1" applyAlignment="1">
      <alignment horizontal="center" wrapText="1"/>
    </xf>
    <xf numFmtId="0" fontId="60" fillId="0" borderId="32" xfId="1143" applyBorder="1"/>
    <xf numFmtId="0" fontId="16" fillId="45" borderId="70" xfId="1143" applyFont="1" applyFill="1" applyBorder="1" applyAlignment="1">
      <alignment horizontal="center" vertical="center" wrapText="1"/>
    </xf>
    <xf numFmtId="0" fontId="60" fillId="49" borderId="10" xfId="1143" applyFill="1" applyBorder="1"/>
    <xf numFmtId="0" fontId="20" fillId="50" borderId="10" xfId="1143" applyFont="1" applyFill="1" applyBorder="1" applyAlignment="1">
      <alignment horizontal="center" vertical="center" wrapText="1"/>
    </xf>
    <xf numFmtId="0" fontId="20" fillId="49" borderId="10" xfId="1143" applyFont="1" applyFill="1" applyBorder="1" applyAlignment="1">
      <alignment horizontal="center" vertical="center" wrapText="1"/>
    </xf>
    <xf numFmtId="1" fontId="20" fillId="49" borderId="10" xfId="1143" applyNumberFormat="1" applyFont="1" applyFill="1" applyBorder="1" applyAlignment="1">
      <alignment horizontal="center" vertical="center" wrapText="1"/>
    </xf>
    <xf numFmtId="0" fontId="20" fillId="50" borderId="10" xfId="1143" applyFont="1" applyFill="1" applyBorder="1" applyAlignment="1">
      <alignment vertical="center" wrapText="1"/>
    </xf>
    <xf numFmtId="0" fontId="60" fillId="0" borderId="10" xfId="1143" applyBorder="1"/>
    <xf numFmtId="0" fontId="16" fillId="45" borderId="47" xfId="1143" applyFont="1" applyFill="1" applyBorder="1" applyAlignment="1">
      <alignment horizontal="center" vertical="center" wrapText="1"/>
    </xf>
    <xf numFmtId="1" fontId="20" fillId="51" borderId="47" xfId="1143" applyNumberFormat="1" applyFont="1" applyFill="1" applyBorder="1" applyAlignment="1">
      <alignment horizontal="center" vertical="center" wrapText="1"/>
    </xf>
    <xf numFmtId="1" fontId="20" fillId="0" borderId="44" xfId="1143" applyNumberFormat="1" applyFont="1" applyBorder="1" applyAlignment="1">
      <alignment horizontal="center" vertical="center" wrapText="1"/>
    </xf>
    <xf numFmtId="1" fontId="20" fillId="51" borderId="44" xfId="1143" applyNumberFormat="1" applyFont="1" applyFill="1" applyBorder="1" applyAlignment="1">
      <alignment horizontal="center" vertical="center" wrapText="1"/>
    </xf>
    <xf numFmtId="0" fontId="46" fillId="0" borderId="10" xfId="1143" applyFont="1" applyBorder="1" applyAlignment="1">
      <alignment horizontal="center" vertical="center" wrapText="1"/>
    </xf>
    <xf numFmtId="0" fontId="46" fillId="0" borderId="10" xfId="1143" applyFont="1" applyBorder="1" applyAlignment="1">
      <alignment horizontal="left" vertical="center" wrapText="1"/>
    </xf>
    <xf numFmtId="0" fontId="60" fillId="35" borderId="10" xfId="1143" applyFill="1" applyBorder="1"/>
    <xf numFmtId="0" fontId="46" fillId="35" borderId="10" xfId="1143" applyFont="1" applyFill="1" applyBorder="1" applyAlignment="1">
      <alignment horizontal="center" vertical="center" wrapText="1"/>
    </xf>
    <xf numFmtId="0" fontId="46" fillId="35" borderId="42" xfId="1143" applyFont="1" applyFill="1" applyBorder="1" applyAlignment="1">
      <alignment horizontal="left" vertical="center" wrapText="1"/>
    </xf>
    <xf numFmtId="0" fontId="62" fillId="0" borderId="0" xfId="1143" applyFont="1"/>
    <xf numFmtId="0" fontId="62" fillId="0" borderId="0" xfId="1143" applyFont="1" applyAlignment="1">
      <alignment horizontal="center" wrapText="1"/>
    </xf>
    <xf numFmtId="0" fontId="62" fillId="0" borderId="0" xfId="1143" applyFont="1" applyAlignment="1">
      <alignment horizontal="center"/>
    </xf>
    <xf numFmtId="0" fontId="20" fillId="0" borderId="44" xfId="1143" applyFont="1" applyBorder="1" applyAlignment="1">
      <alignment vertical="center" wrapText="1"/>
    </xf>
    <xf numFmtId="1" fontId="20" fillId="52" borderId="47" xfId="1143" applyNumberFormat="1" applyFont="1" applyFill="1" applyBorder="1" applyAlignment="1">
      <alignment horizontal="center" vertical="center" wrapText="1"/>
    </xf>
    <xf numFmtId="0" fontId="60" fillId="52" borderId="44" xfId="1143" applyFill="1" applyBorder="1"/>
    <xf numFmtId="1" fontId="20" fillId="52" borderId="44" xfId="1143" applyNumberFormat="1" applyFont="1" applyFill="1" applyBorder="1" applyAlignment="1">
      <alignment horizontal="center" vertical="center" wrapText="1"/>
    </xf>
    <xf numFmtId="0" fontId="60" fillId="54" borderId="10" xfId="1143" applyFill="1" applyBorder="1"/>
    <xf numFmtId="0" fontId="20" fillId="54" borderId="10" xfId="1143" applyFont="1" applyFill="1" applyBorder="1" applyAlignment="1">
      <alignment horizontal="center" vertical="center" wrapText="1"/>
    </xf>
    <xf numFmtId="1" fontId="20" fillId="54" borderId="10" xfId="1143" applyNumberFormat="1" applyFont="1" applyFill="1" applyBorder="1" applyAlignment="1">
      <alignment horizontal="center" vertical="center" wrapText="1"/>
    </xf>
    <xf numFmtId="0" fontId="98" fillId="54" borderId="10" xfId="1143" applyFont="1" applyFill="1" applyBorder="1" applyAlignment="1">
      <alignment vertical="center" wrapText="1"/>
    </xf>
    <xf numFmtId="0" fontId="20" fillId="52" borderId="44" xfId="1143" applyFont="1" applyFill="1" applyBorder="1" applyAlignment="1">
      <alignment horizontal="center" vertical="center" wrapText="1"/>
    </xf>
    <xf numFmtId="0" fontId="20" fillId="54" borderId="10" xfId="1143" applyFont="1" applyFill="1" applyBorder="1" applyAlignment="1">
      <alignment vertical="center" wrapText="1"/>
    </xf>
    <xf numFmtId="0" fontId="20" fillId="54" borderId="41" xfId="1143" applyFont="1" applyFill="1" applyBorder="1" applyAlignment="1">
      <alignment horizontal="center" vertical="center" wrapText="1"/>
    </xf>
    <xf numFmtId="1" fontId="20" fillId="54" borderId="41" xfId="1143" applyNumberFormat="1" applyFont="1" applyFill="1" applyBorder="1" applyAlignment="1">
      <alignment horizontal="center" vertical="center" wrapText="1"/>
    </xf>
    <xf numFmtId="0" fontId="20" fillId="54" borderId="41" xfId="1143" applyFont="1" applyFill="1" applyBorder="1" applyAlignment="1">
      <alignment vertical="center" wrapText="1"/>
    </xf>
    <xf numFmtId="0" fontId="16" fillId="53" borderId="47" xfId="1143" applyFont="1" applyFill="1" applyBorder="1" applyAlignment="1">
      <alignment horizontal="center" vertical="center" wrapText="1"/>
    </xf>
    <xf numFmtId="0" fontId="100" fillId="54" borderId="10" xfId="1157" quotePrefix="1" applyFont="1" applyFill="1" applyBorder="1">
      <alignment vertical="top"/>
    </xf>
    <xf numFmtId="0" fontId="100" fillId="54" borderId="10" xfId="1157" quotePrefix="1" applyFont="1" applyFill="1" applyBorder="1" applyAlignment="1">
      <alignment vertical="center"/>
    </xf>
    <xf numFmtId="0" fontId="60" fillId="41" borderId="0" xfId="1143" applyFill="1"/>
    <xf numFmtId="1" fontId="16" fillId="52" borderId="44" xfId="1143" applyNumberFormat="1" applyFont="1" applyFill="1" applyBorder="1" applyAlignment="1">
      <alignment horizontal="center" vertical="center" wrapText="1"/>
    </xf>
    <xf numFmtId="0" fontId="20" fillId="54" borderId="32" xfId="1143" applyFont="1" applyFill="1" applyBorder="1" applyAlignment="1">
      <alignment horizontal="center" vertical="center" wrapText="1"/>
    </xf>
    <xf numFmtId="1" fontId="20" fillId="54" borderId="32" xfId="1143" applyNumberFormat="1" applyFont="1" applyFill="1" applyBorder="1" applyAlignment="1">
      <alignment horizontal="center" vertical="center" wrapText="1"/>
    </xf>
    <xf numFmtId="0" fontId="98" fillId="54" borderId="32" xfId="1143" applyFont="1" applyFill="1" applyBorder="1" applyAlignment="1">
      <alignment vertical="center" wrapText="1"/>
    </xf>
    <xf numFmtId="0" fontId="60" fillId="0" borderId="10" xfId="1143" applyBorder="1" applyAlignment="1">
      <alignment horizontal="center"/>
    </xf>
    <xf numFmtId="0" fontId="60" fillId="55" borderId="10" xfId="1143" applyFill="1" applyBorder="1"/>
    <xf numFmtId="0" fontId="46" fillId="55" borderId="10" xfId="1143" applyFont="1" applyFill="1" applyBorder="1" applyAlignment="1">
      <alignment horizontal="center" vertical="center" wrapText="1"/>
    </xf>
    <xf numFmtId="0" fontId="46" fillId="55" borderId="42" xfId="1143" applyFont="1" applyFill="1" applyBorder="1" applyAlignment="1">
      <alignment horizontal="left" vertical="center" wrapText="1"/>
    </xf>
    <xf numFmtId="0" fontId="0" fillId="0" borderId="0" xfId="1143" applyFont="1"/>
    <xf numFmtId="0" fontId="16" fillId="56" borderId="47" xfId="1143" applyFont="1" applyFill="1" applyBorder="1" applyAlignment="1">
      <alignment horizontal="center" vertical="center" wrapText="1"/>
    </xf>
    <xf numFmtId="0" fontId="16" fillId="56" borderId="10" xfId="1143" applyFont="1" applyFill="1" applyBorder="1" applyAlignment="1">
      <alignment horizontal="center" vertical="center" wrapText="1"/>
    </xf>
    <xf numFmtId="1" fontId="20" fillId="0" borderId="10" xfId="1143" applyNumberFormat="1" applyFont="1" applyBorder="1" applyAlignment="1">
      <alignment horizontal="center" vertical="center" wrapText="1"/>
    </xf>
    <xf numFmtId="1" fontId="16" fillId="57" borderId="10" xfId="1143" applyNumberFormat="1" applyFont="1" applyFill="1" applyBorder="1" applyAlignment="1">
      <alignment horizontal="center" vertical="center" wrapText="1"/>
    </xf>
    <xf numFmtId="0" fontId="100" fillId="58" borderId="10" xfId="1157" quotePrefix="1" applyFont="1" applyFill="1" applyBorder="1">
      <alignment vertical="top"/>
    </xf>
    <xf numFmtId="0" fontId="100" fillId="58" borderId="10" xfId="1157" quotePrefix="1" applyFont="1" applyFill="1" applyBorder="1" applyAlignment="1">
      <alignment vertical="center"/>
    </xf>
    <xf numFmtId="0" fontId="20" fillId="59" borderId="10" xfId="1143" applyFont="1" applyFill="1" applyBorder="1" applyAlignment="1">
      <alignment horizontal="center" vertical="center" wrapText="1"/>
    </xf>
    <xf numFmtId="0" fontId="20" fillId="59" borderId="42" xfId="1143" applyFont="1" applyFill="1" applyBorder="1" applyAlignment="1">
      <alignment horizontal="center" vertical="center" wrapText="1"/>
    </xf>
    <xf numFmtId="1" fontId="20" fillId="58" borderId="42" xfId="1143" applyNumberFormat="1" applyFont="1" applyFill="1" applyBorder="1" applyAlignment="1">
      <alignment horizontal="center" vertical="center" wrapText="1"/>
    </xf>
    <xf numFmtId="0" fontId="20" fillId="59" borderId="42" xfId="1143" applyFont="1" applyFill="1" applyBorder="1" applyAlignment="1">
      <alignment horizontal="left" vertical="center" wrapText="1"/>
    </xf>
    <xf numFmtId="0" fontId="16" fillId="45" borderId="10" xfId="1143" applyFont="1" applyFill="1" applyBorder="1" applyAlignment="1">
      <alignment horizontal="center" vertical="center" wrapText="1"/>
    </xf>
    <xf numFmtId="2" fontId="20" fillId="56" borderId="10" xfId="1143" applyNumberFormat="1" applyFont="1" applyFill="1" applyBorder="1" applyAlignment="1">
      <alignment horizontal="center" vertical="center" wrapText="1"/>
    </xf>
    <xf numFmtId="0" fontId="16" fillId="56" borderId="32" xfId="1143" applyFont="1" applyFill="1" applyBorder="1" applyAlignment="1">
      <alignment horizontal="center" vertical="center" wrapText="1"/>
    </xf>
    <xf numFmtId="1" fontId="20" fillId="0" borderId="32" xfId="1143" applyNumberFormat="1" applyFont="1" applyBorder="1" applyAlignment="1">
      <alignment horizontal="center" vertical="center" wrapText="1"/>
    </xf>
    <xf numFmtId="2" fontId="16" fillId="56" borderId="32" xfId="1158" applyNumberFormat="1" applyFont="1" applyFill="1" applyBorder="1" applyAlignment="1">
      <alignment horizontal="center" vertical="center" wrapText="1"/>
    </xf>
    <xf numFmtId="0" fontId="60" fillId="58" borderId="10" xfId="1143" applyFill="1" applyBorder="1"/>
    <xf numFmtId="0" fontId="16" fillId="56" borderId="44" xfId="1143" applyFont="1" applyFill="1" applyBorder="1" applyAlignment="1">
      <alignment horizontal="center" vertical="center" wrapText="1"/>
    </xf>
    <xf numFmtId="0" fontId="20" fillId="59" borderId="10" xfId="1143" applyFont="1" applyFill="1" applyBorder="1" applyAlignment="1">
      <alignment horizontal="left" vertical="center" wrapText="1"/>
    </xf>
    <xf numFmtId="1" fontId="20" fillId="58" borderId="10" xfId="1143" applyNumberFormat="1" applyFont="1" applyFill="1" applyBorder="1" applyAlignment="1">
      <alignment horizontal="center" vertical="center" wrapText="1"/>
    </xf>
    <xf numFmtId="1" fontId="20" fillId="58" borderId="32" xfId="1143" applyNumberFormat="1" applyFont="1" applyFill="1" applyBorder="1" applyAlignment="1">
      <alignment horizontal="center" vertical="center" wrapText="1"/>
    </xf>
    <xf numFmtId="0" fontId="20" fillId="59" borderId="32" xfId="1143" applyFont="1" applyFill="1" applyBorder="1" applyAlignment="1">
      <alignment horizontal="center" vertical="center" wrapText="1"/>
    </xf>
    <xf numFmtId="0" fontId="98" fillId="59" borderId="32" xfId="1143" applyFont="1" applyFill="1" applyBorder="1" applyAlignment="1">
      <alignment vertical="center" wrapText="1"/>
    </xf>
    <xf numFmtId="0" fontId="60" fillId="60" borderId="10" xfId="1143" applyFill="1" applyBorder="1"/>
    <xf numFmtId="1" fontId="46" fillId="60" borderId="10" xfId="1143" applyNumberFormat="1" applyFont="1" applyFill="1" applyBorder="1" applyAlignment="1">
      <alignment horizontal="center" vertical="center" wrapText="1"/>
    </xf>
    <xf numFmtId="0" fontId="46" fillId="60" borderId="10" xfId="1143" applyFont="1" applyFill="1" applyBorder="1" applyAlignment="1">
      <alignment horizontal="center" vertical="center" wrapText="1"/>
    </xf>
    <xf numFmtId="0" fontId="46" fillId="60" borderId="42" xfId="1143" applyFont="1" applyFill="1" applyBorder="1" applyAlignment="1">
      <alignment vertical="center" wrapText="1"/>
    </xf>
    <xf numFmtId="0" fontId="90" fillId="0" borderId="0" xfId="1143" applyFont="1"/>
    <xf numFmtId="9" fontId="16" fillId="61" borderId="10" xfId="1158" applyFont="1" applyFill="1" applyBorder="1" applyAlignment="1">
      <alignment horizontal="center" vertical="center" wrapText="1"/>
    </xf>
    <xf numFmtId="0" fontId="16" fillId="61" borderId="10" xfId="1143" applyFont="1" applyFill="1" applyBorder="1" applyAlignment="1">
      <alignment horizontal="center" vertical="center" wrapText="1"/>
    </xf>
    <xf numFmtId="0" fontId="60" fillId="61" borderId="0" xfId="1143" applyFill="1"/>
    <xf numFmtId="9" fontId="16" fillId="61" borderId="10" xfId="1143" applyNumberFormat="1" applyFont="1" applyFill="1" applyBorder="1" applyAlignment="1">
      <alignment horizontal="center" vertical="center" wrapText="1"/>
    </xf>
    <xf numFmtId="1" fontId="16" fillId="61" borderId="10" xfId="1143" applyNumberFormat="1" applyFont="1" applyFill="1" applyBorder="1" applyAlignment="1">
      <alignment horizontal="center" vertical="center" wrapText="1"/>
    </xf>
    <xf numFmtId="1" fontId="100" fillId="63" borderId="10" xfId="1157" quotePrefix="1" applyNumberFormat="1" applyFont="1" applyFill="1" applyBorder="1" applyAlignment="1">
      <alignment vertical="center"/>
    </xf>
    <xf numFmtId="0" fontId="20" fillId="63" borderId="10" xfId="1143" applyFont="1" applyFill="1" applyBorder="1" applyAlignment="1">
      <alignment horizontal="center" vertical="center" wrapText="1"/>
    </xf>
    <xf numFmtId="0" fontId="20" fillId="63" borderId="42" xfId="1143" applyFont="1" applyFill="1" applyBorder="1" applyAlignment="1">
      <alignment horizontal="center" vertical="center" wrapText="1"/>
    </xf>
    <xf numFmtId="0" fontId="98" fillId="63" borderId="42" xfId="1143" applyFont="1" applyFill="1" applyBorder="1" applyAlignment="1">
      <alignment vertical="center" wrapText="1"/>
    </xf>
    <xf numFmtId="0" fontId="16" fillId="61" borderId="47" xfId="1143" applyFont="1" applyFill="1" applyBorder="1" applyAlignment="1">
      <alignment horizontal="center" vertical="center" wrapText="1"/>
    </xf>
    <xf numFmtId="1" fontId="20" fillId="61" borderId="44" xfId="1143" applyNumberFormat="1" applyFont="1" applyFill="1" applyBorder="1" applyAlignment="1">
      <alignment horizontal="center" vertical="center" wrapText="1"/>
    </xf>
    <xf numFmtId="0" fontId="60" fillId="61" borderId="44" xfId="1143" applyFill="1" applyBorder="1"/>
    <xf numFmtId="0" fontId="20" fillId="61" borderId="44" xfId="1143" applyFont="1" applyFill="1" applyBorder="1" applyAlignment="1">
      <alignment horizontal="center" vertical="center" wrapText="1"/>
    </xf>
    <xf numFmtId="0" fontId="20" fillId="63" borderId="10" xfId="1143" applyFont="1" applyFill="1" applyBorder="1" applyAlignment="1">
      <alignment horizontal="left" vertical="center" wrapText="1"/>
    </xf>
    <xf numFmtId="10" fontId="16" fillId="61" borderId="10" xfId="1143" applyNumberFormat="1" applyFont="1" applyFill="1" applyBorder="1" applyAlignment="1">
      <alignment horizontal="center" vertical="center" wrapText="1"/>
    </xf>
    <xf numFmtId="0" fontId="16" fillId="62" borderId="10" xfId="1143" applyFont="1" applyFill="1" applyBorder="1" applyAlignment="1">
      <alignment horizontal="center" vertical="center" wrapText="1"/>
    </xf>
    <xf numFmtId="9" fontId="16" fillId="45" borderId="10" xfId="1158" applyFont="1" applyFill="1" applyBorder="1" applyAlignment="1">
      <alignment horizontal="center" vertical="center" wrapText="1"/>
    </xf>
    <xf numFmtId="0" fontId="98" fillId="63" borderId="10" xfId="1143" applyFont="1" applyFill="1" applyBorder="1" applyAlignment="1">
      <alignment vertical="center" wrapText="1"/>
    </xf>
    <xf numFmtId="1" fontId="20" fillId="61" borderId="0" xfId="1143" applyNumberFormat="1" applyFont="1" applyFill="1" applyAlignment="1">
      <alignment horizontal="center" vertical="center" wrapText="1"/>
    </xf>
    <xf numFmtId="0" fontId="20" fillId="63" borderId="42" xfId="1143" applyFont="1" applyFill="1" applyBorder="1" applyAlignment="1">
      <alignment vertical="center" wrapText="1"/>
    </xf>
    <xf numFmtId="0" fontId="60" fillId="0" borderId="0" xfId="1143" applyAlignment="1">
      <alignment wrapText="1"/>
    </xf>
    <xf numFmtId="10" fontId="16" fillId="61" borderId="44" xfId="1143" applyNumberFormat="1" applyFont="1" applyFill="1" applyBorder="1" applyAlignment="1">
      <alignment horizontal="center" vertical="center" wrapText="1"/>
    </xf>
    <xf numFmtId="1" fontId="20" fillId="63" borderId="10" xfId="1143" applyNumberFormat="1" applyFont="1" applyFill="1" applyBorder="1" applyAlignment="1">
      <alignment horizontal="center" vertical="center" wrapText="1"/>
    </xf>
    <xf numFmtId="0" fontId="60" fillId="63" borderId="44" xfId="1143" applyFill="1" applyBorder="1"/>
    <xf numFmtId="0" fontId="20" fillId="63" borderId="10" xfId="1143" applyFont="1" applyFill="1" applyBorder="1" applyAlignment="1">
      <alignment vertical="center" wrapText="1"/>
    </xf>
    <xf numFmtId="10" fontId="16" fillId="61" borderId="10" xfId="1158" applyNumberFormat="1" applyFont="1" applyFill="1" applyBorder="1" applyAlignment="1">
      <alignment horizontal="center" vertical="center" wrapText="1"/>
    </xf>
    <xf numFmtId="0" fontId="60" fillId="63" borderId="0" xfId="1143" applyFill="1"/>
    <xf numFmtId="0" fontId="60" fillId="32" borderId="10" xfId="1143" applyFill="1" applyBorder="1"/>
    <xf numFmtId="1" fontId="46" fillId="32" borderId="10" xfId="1143" applyNumberFormat="1" applyFont="1" applyFill="1" applyBorder="1" applyAlignment="1">
      <alignment horizontal="center" vertical="center" wrapText="1"/>
    </xf>
    <xf numFmtId="0" fontId="46" fillId="32" borderId="10" xfId="1143" applyFont="1" applyFill="1" applyBorder="1" applyAlignment="1">
      <alignment horizontal="center" vertical="center" wrapText="1"/>
    </xf>
    <xf numFmtId="0" fontId="46" fillId="32" borderId="10" xfId="1143" applyFont="1" applyFill="1" applyBorder="1" applyAlignment="1">
      <alignment vertical="center" wrapText="1"/>
    </xf>
    <xf numFmtId="0" fontId="20" fillId="0" borderId="10" xfId="1143" applyFont="1" applyBorder="1" applyAlignment="1">
      <alignment vertical="center" wrapText="1"/>
    </xf>
    <xf numFmtId="0" fontId="98" fillId="0" borderId="10" xfId="1143" applyFont="1" applyBorder="1" applyAlignment="1">
      <alignment vertical="center" wrapText="1"/>
    </xf>
    <xf numFmtId="0" fontId="64" fillId="0" borderId="10" xfId="1143" applyFont="1" applyBorder="1"/>
    <xf numFmtId="0" fontId="60" fillId="42" borderId="10" xfId="1143" applyFill="1" applyBorder="1"/>
    <xf numFmtId="0" fontId="62" fillId="0" borderId="0" xfId="1143" applyFont="1" applyAlignment="1">
      <alignment wrapText="1"/>
    </xf>
    <xf numFmtId="0" fontId="60" fillId="0" borderId="0" xfId="1143" applyAlignment="1">
      <alignment vertical="center"/>
    </xf>
    <xf numFmtId="0" fontId="62" fillId="0" borderId="10" xfId="1143" applyFont="1" applyBorder="1"/>
    <xf numFmtId="0" fontId="60" fillId="0" borderId="0" xfId="1143" applyAlignment="1">
      <alignment horizontal="center"/>
    </xf>
    <xf numFmtId="0" fontId="64" fillId="0" borderId="10" xfId="1143" applyFont="1" applyBorder="1" applyAlignment="1">
      <alignment vertical="center"/>
    </xf>
    <xf numFmtId="0" fontId="60" fillId="0" borderId="0" xfId="1143" applyAlignment="1">
      <alignment vertical="top" wrapText="1"/>
    </xf>
    <xf numFmtId="0" fontId="60" fillId="0" borderId="0" xfId="1143" applyAlignment="1">
      <alignment horizontal="left" wrapText="1"/>
    </xf>
    <xf numFmtId="0" fontId="15" fillId="45" borderId="23" xfId="1143" applyFont="1" applyFill="1" applyBorder="1" applyAlignment="1">
      <alignment horizontal="center" vertical="center" wrapText="1"/>
    </xf>
    <xf numFmtId="0" fontId="19" fillId="0" borderId="0" xfId="106" applyFont="1"/>
    <xf numFmtId="0" fontId="103" fillId="0" borderId="0" xfId="106" applyFont="1" applyAlignment="1">
      <alignment vertical="center"/>
    </xf>
    <xf numFmtId="0" fontId="49" fillId="26" borderId="122" xfId="106" applyFont="1" applyFill="1" applyBorder="1" applyAlignment="1">
      <alignment horizontal="center"/>
    </xf>
    <xf numFmtId="0" fontId="49" fillId="26" borderId="127" xfId="106" applyFont="1" applyFill="1" applyBorder="1" applyAlignment="1">
      <alignment horizontal="center"/>
    </xf>
    <xf numFmtId="0" fontId="19" fillId="26" borderId="28" xfId="106" applyFont="1" applyFill="1" applyBorder="1" applyAlignment="1">
      <alignment horizontal="center" vertical="center"/>
    </xf>
    <xf numFmtId="0" fontId="19" fillId="26" borderId="94" xfId="106" applyFont="1" applyFill="1" applyBorder="1" applyAlignment="1">
      <alignment horizontal="center" vertical="center"/>
    </xf>
    <xf numFmtId="0" fontId="15" fillId="29" borderId="75" xfId="1144" applyFont="1" applyFill="1" applyBorder="1" applyAlignment="1">
      <alignment horizontal="center" vertical="center"/>
    </xf>
    <xf numFmtId="0" fontId="15" fillId="26" borderId="42" xfId="1144" applyFont="1" applyFill="1" applyBorder="1" applyAlignment="1">
      <alignment horizontal="center" vertical="center"/>
    </xf>
    <xf numFmtId="0" fontId="19" fillId="26" borderId="33" xfId="106" applyFont="1" applyFill="1" applyBorder="1" applyAlignment="1">
      <alignment horizontal="center" vertical="center"/>
    </xf>
    <xf numFmtId="0" fontId="19" fillId="28" borderId="91" xfId="106" applyFont="1" applyFill="1" applyBorder="1" applyAlignment="1">
      <alignment horizontal="center" vertical="center" wrapText="1"/>
    </xf>
    <xf numFmtId="0" fontId="49" fillId="26" borderId="13" xfId="106" applyFont="1" applyFill="1" applyBorder="1"/>
    <xf numFmtId="1" fontId="93" fillId="26" borderId="13" xfId="106" applyNumberFormat="1" applyFont="1" applyFill="1" applyBorder="1" applyAlignment="1">
      <alignment horizontal="center" vertical="center" wrapText="1"/>
    </xf>
    <xf numFmtId="0" fontId="15" fillId="29" borderId="55" xfId="1144" applyFont="1" applyFill="1" applyBorder="1" applyAlignment="1">
      <alignment horizontal="center" vertical="center"/>
    </xf>
    <xf numFmtId="0" fontId="15" fillId="29" borderId="47" xfId="1144" applyFont="1" applyFill="1" applyBorder="1" applyAlignment="1">
      <alignment horizontal="center" vertical="center"/>
    </xf>
    <xf numFmtId="0" fontId="15" fillId="29" borderId="56" xfId="1144" applyFont="1" applyFill="1" applyBorder="1" applyAlignment="1">
      <alignment horizontal="center" vertical="center"/>
    </xf>
    <xf numFmtId="168" fontId="93" fillId="26" borderId="25" xfId="106" applyNumberFormat="1" applyFont="1" applyFill="1" applyBorder="1" applyAlignment="1">
      <alignment horizontal="center" vertical="center" wrapText="1"/>
    </xf>
    <xf numFmtId="168" fontId="93" fillId="26" borderId="39" xfId="106" applyNumberFormat="1" applyFont="1" applyFill="1" applyBorder="1" applyAlignment="1">
      <alignment horizontal="center" vertical="center" wrapText="1"/>
    </xf>
    <xf numFmtId="168" fontId="93" fillId="26" borderId="24" xfId="106" applyNumberFormat="1" applyFont="1" applyFill="1" applyBorder="1" applyAlignment="1">
      <alignment horizontal="center" vertical="center" wrapText="1"/>
    </xf>
    <xf numFmtId="0" fontId="19" fillId="27" borderId="72" xfId="106" applyFont="1" applyFill="1" applyBorder="1" applyAlignment="1">
      <alignment horizontal="center" vertical="center"/>
    </xf>
    <xf numFmtId="0" fontId="19" fillId="27" borderId="71" xfId="106" applyFont="1" applyFill="1" applyBorder="1" applyAlignment="1">
      <alignment horizontal="center" vertical="center"/>
    </xf>
    <xf numFmtId="0" fontId="19" fillId="27" borderId="16" xfId="106" applyFont="1" applyFill="1" applyBorder="1" applyAlignment="1">
      <alignment horizontal="center" vertical="center" wrapText="1"/>
    </xf>
    <xf numFmtId="1" fontId="93" fillId="26" borderId="58" xfId="106" applyNumberFormat="1" applyFont="1" applyFill="1" applyBorder="1" applyAlignment="1">
      <alignment horizontal="center" vertical="center" wrapText="1"/>
    </xf>
    <xf numFmtId="0" fontId="19" fillId="27" borderId="34" xfId="106" applyFont="1" applyFill="1" applyBorder="1" applyAlignment="1">
      <alignment horizontal="center" vertical="center" wrapText="1"/>
    </xf>
    <xf numFmtId="0" fontId="19" fillId="27" borderId="12" xfId="106" applyFont="1" applyFill="1" applyBorder="1" applyAlignment="1">
      <alignment horizontal="center" vertical="center"/>
    </xf>
    <xf numFmtId="0" fontId="15" fillId="27" borderId="43" xfId="106" applyFill="1" applyBorder="1" applyAlignment="1">
      <alignment horizontal="center" vertical="center"/>
    </xf>
    <xf numFmtId="0" fontId="15" fillId="27" borderId="33" xfId="106" applyFill="1" applyBorder="1" applyAlignment="1">
      <alignment horizontal="center" vertical="center"/>
    </xf>
    <xf numFmtId="0" fontId="15" fillId="27" borderId="58" xfId="106" applyFill="1" applyBorder="1" applyAlignment="1">
      <alignment horizontal="center" vertical="center"/>
    </xf>
    <xf numFmtId="0" fontId="19" fillId="0" borderId="0" xfId="1143" applyFont="1" applyAlignment="1">
      <alignment horizontal="left" vertical="center" wrapText="1"/>
    </xf>
    <xf numFmtId="0" fontId="16" fillId="44" borderId="10" xfId="1143" applyFont="1" applyFill="1" applyBorder="1" applyAlignment="1">
      <alignment horizontal="center" vertical="center" wrapText="1"/>
    </xf>
    <xf numFmtId="0" fontId="19" fillId="27" borderId="12" xfId="106" applyFont="1" applyFill="1" applyBorder="1" applyAlignment="1">
      <alignment horizontal="center" vertical="center" wrapText="1"/>
    </xf>
    <xf numFmtId="0" fontId="3" fillId="0" borderId="0" xfId="1160"/>
    <xf numFmtId="0" fontId="3" fillId="0" borderId="0" xfId="1160" applyAlignment="1">
      <alignment wrapText="1"/>
    </xf>
    <xf numFmtId="0" fontId="104" fillId="0" borderId="0" xfId="1160" applyFont="1"/>
    <xf numFmtId="0" fontId="16" fillId="62" borderId="47" xfId="1143" applyFont="1" applyFill="1" applyBorder="1" applyAlignment="1">
      <alignment vertical="center" wrapText="1"/>
    </xf>
    <xf numFmtId="0" fontId="16" fillId="62" borderId="11" xfId="1143" applyFont="1" applyFill="1" applyBorder="1" applyAlignment="1">
      <alignment vertical="center" wrapText="1"/>
    </xf>
    <xf numFmtId="0" fontId="3" fillId="0" borderId="10" xfId="1160" applyBorder="1" applyAlignment="1">
      <alignment horizontal="justify" vertical="center" wrapText="1"/>
    </xf>
    <xf numFmtId="0" fontId="63" fillId="0" borderId="10" xfId="1160" applyFont="1" applyBorder="1"/>
    <xf numFmtId="0" fontId="63" fillId="0" borderId="10" xfId="1160" applyFont="1" applyBorder="1" applyAlignment="1">
      <alignment wrapText="1"/>
    </xf>
    <xf numFmtId="0" fontId="63" fillId="0" borderId="0" xfId="1160" applyFont="1" applyAlignment="1">
      <alignment wrapText="1"/>
    </xf>
    <xf numFmtId="0" fontId="63" fillId="0" borderId="0" xfId="1160" applyFont="1"/>
    <xf numFmtId="0" fontId="63" fillId="36" borderId="10" xfId="1160" applyFont="1" applyFill="1" applyBorder="1" applyAlignment="1">
      <alignment wrapText="1"/>
    </xf>
    <xf numFmtId="0" fontId="63" fillId="0" borderId="10" xfId="1160" applyFont="1" applyBorder="1" applyAlignment="1">
      <alignment vertical="top"/>
    </xf>
    <xf numFmtId="0" fontId="63" fillId="36" borderId="10" xfId="1160" applyFont="1" applyFill="1" applyBorder="1" applyAlignment="1">
      <alignment vertical="top" wrapText="1"/>
    </xf>
    <xf numFmtId="0" fontId="105" fillId="36" borderId="10" xfId="1160" applyFont="1" applyFill="1" applyBorder="1" applyAlignment="1">
      <alignment vertical="top" wrapText="1"/>
    </xf>
    <xf numFmtId="0" fontId="16" fillId="53" borderId="47" xfId="1143" applyFont="1" applyFill="1" applyBorder="1" applyAlignment="1">
      <alignment vertical="center" wrapText="1"/>
    </xf>
    <xf numFmtId="0" fontId="16" fillId="53" borderId="11" xfId="1143" applyFont="1" applyFill="1" applyBorder="1" applyAlignment="1">
      <alignment vertical="center" wrapText="1"/>
    </xf>
    <xf numFmtId="0" fontId="3" fillId="0" borderId="10" xfId="1160" applyBorder="1"/>
    <xf numFmtId="0" fontId="3" fillId="0" borderId="10" xfId="1160" applyBorder="1" applyAlignment="1">
      <alignment wrapText="1"/>
    </xf>
    <xf numFmtId="0" fontId="3" fillId="36" borderId="10" xfId="1160" applyFill="1" applyBorder="1" applyAlignment="1">
      <alignment wrapText="1"/>
    </xf>
    <xf numFmtId="0" fontId="3" fillId="0" borderId="10" xfId="1160" applyBorder="1" applyAlignment="1">
      <alignment vertical="top"/>
    </xf>
    <xf numFmtId="0" fontId="3" fillId="36" borderId="10" xfId="1160" applyFill="1" applyBorder="1" applyAlignment="1">
      <alignment vertical="top" wrapText="1"/>
    </xf>
    <xf numFmtId="0" fontId="3" fillId="0" borderId="0" xfId="1160" applyAlignment="1">
      <alignment horizontal="justify" vertical="center" wrapText="1"/>
    </xf>
    <xf numFmtId="0" fontId="3" fillId="67" borderId="10" xfId="1160" applyFill="1" applyBorder="1" applyAlignment="1">
      <alignment vertical="top" wrapText="1"/>
    </xf>
    <xf numFmtId="0" fontId="105" fillId="36" borderId="32" xfId="1160" applyFont="1" applyFill="1" applyBorder="1" applyAlignment="1">
      <alignment vertical="top" wrapText="1"/>
    </xf>
    <xf numFmtId="0" fontId="3" fillId="36" borderId="32" xfId="1160" applyFill="1" applyBorder="1" applyAlignment="1">
      <alignment vertical="top" wrapText="1"/>
    </xf>
    <xf numFmtId="0" fontId="16" fillId="48" borderId="47" xfId="1143" applyFont="1" applyFill="1" applyBorder="1" applyAlignment="1">
      <alignment vertical="center" wrapText="1"/>
    </xf>
    <xf numFmtId="0" fontId="16" fillId="48" borderId="11" xfId="1143" applyFont="1" applyFill="1" applyBorder="1" applyAlignment="1">
      <alignment vertical="center" wrapText="1"/>
    </xf>
    <xf numFmtId="167" fontId="16" fillId="0" borderId="0" xfId="1143" applyNumberFormat="1" applyFont="1" applyAlignment="1">
      <alignment horizontal="center" vertical="center" wrapText="1"/>
    </xf>
    <xf numFmtId="0" fontId="16" fillId="53" borderId="70" xfId="1143" applyFont="1" applyFill="1" applyBorder="1" applyAlignment="1">
      <alignment vertical="center" wrapText="1"/>
    </xf>
    <xf numFmtId="0" fontId="16" fillId="53" borderId="30" xfId="1143" applyFont="1" applyFill="1" applyBorder="1" applyAlignment="1">
      <alignment vertical="center" wrapText="1"/>
    </xf>
    <xf numFmtId="0" fontId="3" fillId="36" borderId="41" xfId="1160" applyFill="1" applyBorder="1" applyAlignment="1">
      <alignment vertical="top" wrapText="1"/>
    </xf>
    <xf numFmtId="0" fontId="16" fillId="56" borderId="11" xfId="1143" applyFont="1" applyFill="1" applyBorder="1" applyAlignment="1">
      <alignment vertical="center" wrapText="1"/>
    </xf>
    <xf numFmtId="0" fontId="3" fillId="41" borderId="10" xfId="1160" applyFill="1" applyBorder="1"/>
    <xf numFmtId="0" fontId="16" fillId="56" borderId="47" xfId="1143" applyFont="1" applyFill="1" applyBorder="1" applyAlignment="1">
      <alignment vertical="center" wrapText="1"/>
    </xf>
    <xf numFmtId="0" fontId="63" fillId="68" borderId="10" xfId="1160" applyFont="1" applyFill="1" applyBorder="1" applyAlignment="1">
      <alignment wrapText="1"/>
    </xf>
    <xf numFmtId="0" fontId="63" fillId="0" borderId="32" xfId="1160" applyFont="1" applyBorder="1"/>
    <xf numFmtId="0" fontId="3" fillId="0" borderId="32" xfId="1160" applyBorder="1"/>
    <xf numFmtId="0" fontId="63" fillId="68" borderId="32" xfId="1160" applyFont="1" applyFill="1" applyBorder="1" applyAlignment="1">
      <alignment wrapText="1"/>
    </xf>
    <xf numFmtId="0" fontId="105" fillId="36" borderId="10" xfId="1160" applyFont="1" applyFill="1" applyBorder="1" applyAlignment="1">
      <alignment horizontal="right" vertical="top" wrapText="1"/>
    </xf>
    <xf numFmtId="0" fontId="63" fillId="28" borderId="10" xfId="1160" applyFont="1" applyFill="1" applyBorder="1"/>
    <xf numFmtId="0" fontId="63" fillId="28" borderId="10" xfId="1160" applyFont="1" applyFill="1" applyBorder="1" applyAlignment="1">
      <alignment wrapText="1"/>
    </xf>
    <xf numFmtId="0" fontId="63" fillId="68" borderId="41" xfId="1160" applyFont="1" applyFill="1" applyBorder="1" applyAlignment="1">
      <alignment wrapText="1"/>
    </xf>
    <xf numFmtId="0" fontId="63" fillId="68" borderId="41" xfId="1160" applyFont="1" applyFill="1" applyBorder="1"/>
    <xf numFmtId="0" fontId="63" fillId="68" borderId="10" xfId="1160" applyFont="1" applyFill="1" applyBorder="1"/>
    <xf numFmtId="0" fontId="107" fillId="0" borderId="0" xfId="1160" applyFont="1"/>
    <xf numFmtId="0" fontId="105" fillId="0" borderId="0" xfId="1160" applyFont="1" applyAlignment="1">
      <alignment vertical="top"/>
    </xf>
    <xf numFmtId="0" fontId="60" fillId="0" borderId="0" xfId="1143" applyAlignment="1">
      <alignment horizontal="center" vertical="center" wrapText="1"/>
    </xf>
    <xf numFmtId="0" fontId="19" fillId="27" borderId="10" xfId="106" applyFont="1" applyFill="1" applyBorder="1" applyAlignment="1">
      <alignment horizontal="center" vertical="center" wrapText="1"/>
    </xf>
    <xf numFmtId="0" fontId="51" fillId="0" borderId="10" xfId="106" applyFont="1" applyBorder="1" applyAlignment="1">
      <alignment horizontal="center" vertical="center"/>
    </xf>
    <xf numFmtId="0" fontId="19" fillId="27" borderId="40" xfId="106" applyFont="1" applyFill="1" applyBorder="1" applyAlignment="1">
      <alignment horizontal="center" vertical="center"/>
    </xf>
    <xf numFmtId="0" fontId="93" fillId="27" borderId="76" xfId="106" applyFont="1" applyFill="1" applyBorder="1" applyAlignment="1">
      <alignment horizontal="center" vertical="center" wrapText="1"/>
    </xf>
    <xf numFmtId="0" fontId="15" fillId="27" borderId="42" xfId="106" applyFill="1" applyBorder="1" applyAlignment="1">
      <alignment horizontal="right"/>
    </xf>
    <xf numFmtId="0" fontId="93" fillId="27" borderId="27" xfId="106" applyFont="1" applyFill="1" applyBorder="1" applyAlignment="1">
      <alignment horizontal="center" vertical="center" wrapText="1"/>
    </xf>
    <xf numFmtId="0" fontId="93" fillId="27" borderId="50" xfId="106" applyFont="1" applyFill="1" applyBorder="1" applyAlignment="1">
      <alignment horizontal="center" vertical="center" wrapText="1"/>
    </xf>
    <xf numFmtId="0" fontId="20" fillId="29" borderId="128" xfId="0" applyFont="1" applyFill="1" applyBorder="1" applyAlignment="1">
      <alignment horizontal="center" vertical="center"/>
    </xf>
    <xf numFmtId="166" fontId="91" fillId="0" borderId="39" xfId="85" applyNumberFormat="1" applyFont="1" applyFill="1" applyBorder="1" applyAlignment="1" applyProtection="1">
      <alignment horizontal="center" vertical="center" wrapText="1"/>
    </xf>
    <xf numFmtId="1" fontId="20" fillId="26" borderId="109" xfId="0" applyNumberFormat="1" applyFont="1" applyFill="1" applyBorder="1" applyAlignment="1">
      <alignment horizontal="center" vertical="center" wrapText="1"/>
    </xf>
    <xf numFmtId="165" fontId="46" fillId="31" borderId="16" xfId="0" applyNumberFormat="1" applyFont="1" applyFill="1" applyBorder="1" applyAlignment="1">
      <alignment horizontal="center" vertical="center" wrapText="1"/>
    </xf>
    <xf numFmtId="167" fontId="93" fillId="26" borderId="19" xfId="106" applyNumberFormat="1" applyFont="1" applyFill="1" applyBorder="1" applyAlignment="1">
      <alignment horizontal="center" vertical="center" wrapText="1"/>
    </xf>
    <xf numFmtId="167" fontId="49" fillId="26" borderId="123" xfId="106" applyNumberFormat="1" applyFont="1" applyFill="1" applyBorder="1"/>
    <xf numFmtId="168" fontId="93" fillId="26" borderId="19" xfId="106" applyNumberFormat="1" applyFont="1" applyFill="1" applyBorder="1" applyAlignment="1">
      <alignment horizontal="center" vertical="center" wrapText="1"/>
    </xf>
    <xf numFmtId="168" fontId="49" fillId="26" borderId="123" xfId="106" applyNumberFormat="1" applyFont="1" applyFill="1" applyBorder="1"/>
    <xf numFmtId="0" fontId="15" fillId="0" borderId="32" xfId="106" applyBorder="1" applyAlignment="1" applyProtection="1">
      <alignment horizontal="center" vertical="center" wrapText="1"/>
      <protection locked="0"/>
    </xf>
    <xf numFmtId="0" fontId="15" fillId="0" borderId="31" xfId="106" applyBorder="1" applyAlignment="1">
      <alignment horizontal="center" vertical="center" wrapText="1"/>
    </xf>
    <xf numFmtId="0" fontId="20" fillId="27" borderId="110" xfId="106" applyFont="1" applyFill="1" applyBorder="1" applyAlignment="1">
      <alignment horizontal="left" vertical="center" wrapText="1"/>
    </xf>
    <xf numFmtId="0" fontId="20" fillId="27" borderId="12" xfId="1156" applyFont="1" applyFill="1" applyBorder="1" applyAlignment="1" applyProtection="1">
      <alignment horizontal="center" vertical="center"/>
    </xf>
    <xf numFmtId="0" fontId="19" fillId="69" borderId="58" xfId="106" applyFont="1" applyFill="1" applyBorder="1" applyAlignment="1">
      <alignment horizontal="center" vertical="center"/>
    </xf>
    <xf numFmtId="0" fontId="15" fillId="0" borderId="0" xfId="106" applyAlignment="1" applyProtection="1">
      <alignment horizontal="center" vertical="center"/>
      <protection locked="0"/>
    </xf>
    <xf numFmtId="0" fontId="15" fillId="0" borderId="129" xfId="106" applyBorder="1" applyAlignment="1">
      <alignment vertical="center" wrapText="1"/>
    </xf>
    <xf numFmtId="0" fontId="15" fillId="29" borderId="19" xfId="1162" applyFill="1" applyBorder="1" applyAlignment="1" applyProtection="1">
      <alignment horizontal="center" vertical="center"/>
      <protection locked="0"/>
    </xf>
    <xf numFmtId="0" fontId="15" fillId="0" borderId="0" xfId="1162" applyAlignment="1" applyProtection="1">
      <alignment horizontal="center" vertical="center"/>
      <protection locked="0"/>
    </xf>
    <xf numFmtId="0" fontId="20" fillId="36" borderId="40" xfId="106" applyFont="1" applyFill="1" applyBorder="1" applyAlignment="1">
      <alignment vertical="center" wrapText="1"/>
    </xf>
    <xf numFmtId="0" fontId="19" fillId="36" borderId="124" xfId="106" applyFont="1" applyFill="1" applyBorder="1" applyAlignment="1">
      <alignment horizontal="center" vertical="center"/>
    </xf>
    <xf numFmtId="0" fontId="19" fillId="36" borderId="131" xfId="106" applyFont="1" applyFill="1" applyBorder="1" applyAlignment="1">
      <alignment horizontal="center" vertical="center"/>
    </xf>
    <xf numFmtId="0" fontId="15" fillId="0" borderId="33" xfId="1156" applyFont="1" applyFill="1" applyBorder="1" applyAlignment="1" applyProtection="1">
      <alignment horizontal="center" vertical="center"/>
      <protection locked="0"/>
    </xf>
    <xf numFmtId="0" fontId="15" fillId="0" borderId="0" xfId="106" applyAlignment="1" applyProtection="1">
      <alignment horizontal="center" vertical="center" wrapText="1"/>
      <protection locked="0"/>
    </xf>
    <xf numFmtId="0" fontId="15" fillId="69" borderId="90" xfId="106" applyFill="1" applyBorder="1" applyAlignment="1">
      <alignment vertical="center" wrapText="1"/>
    </xf>
    <xf numFmtId="0" fontId="19" fillId="0" borderId="33" xfId="106" applyFont="1" applyBorder="1" applyAlignment="1">
      <alignment horizontal="center" vertical="center" wrapText="1"/>
    </xf>
    <xf numFmtId="0" fontId="15" fillId="0" borderId="10" xfId="1162" applyBorder="1" applyAlignment="1" applyProtection="1">
      <alignment horizontal="center" vertical="center" wrapText="1"/>
      <protection locked="0"/>
    </xf>
    <xf numFmtId="0" fontId="15" fillId="0" borderId="0" xfId="1162" applyAlignment="1" applyProtection="1">
      <alignment horizontal="center" vertical="center" wrapText="1"/>
      <protection locked="0"/>
    </xf>
    <xf numFmtId="0" fontId="15" fillId="69" borderId="36" xfId="106" applyFill="1" applyBorder="1" applyAlignment="1">
      <alignment vertical="center" wrapText="1"/>
    </xf>
    <xf numFmtId="0" fontId="15" fillId="29" borderId="21" xfId="1162" applyFill="1" applyBorder="1" applyAlignment="1" applyProtection="1">
      <alignment horizontal="center" vertical="center"/>
      <protection locked="0"/>
    </xf>
    <xf numFmtId="0" fontId="78" fillId="26" borderId="100" xfId="106" applyFont="1" applyFill="1" applyBorder="1" applyAlignment="1">
      <alignment vertical="center" wrapText="1"/>
    </xf>
    <xf numFmtId="0" fontId="78" fillId="26" borderId="108" xfId="106" applyFont="1" applyFill="1" applyBorder="1" applyAlignment="1">
      <alignment vertical="center" wrapText="1"/>
    </xf>
    <xf numFmtId="0" fontId="15" fillId="26" borderId="108" xfId="106" applyFill="1" applyBorder="1"/>
    <xf numFmtId="0" fontId="28" fillId="26" borderId="12" xfId="106" applyFont="1" applyFill="1" applyBorder="1" applyAlignment="1">
      <alignment horizontal="center" vertical="center" wrapText="1"/>
    </xf>
    <xf numFmtId="0" fontId="44" fillId="0" borderId="0" xfId="1163" applyBorder="1" applyAlignment="1" applyProtection="1"/>
    <xf numFmtId="0" fontId="20" fillId="0" borderId="0" xfId="106" applyFont="1" applyAlignment="1">
      <alignment vertical="center"/>
    </xf>
    <xf numFmtId="0" fontId="20" fillId="27" borderId="110" xfId="106" applyFont="1" applyFill="1" applyBorder="1" applyAlignment="1">
      <alignment vertical="center" wrapText="1"/>
    </xf>
    <xf numFmtId="0" fontId="20" fillId="27" borderId="110" xfId="106" applyFont="1" applyFill="1" applyBorder="1" applyAlignment="1">
      <alignment horizontal="center" vertical="center" wrapText="1"/>
    </xf>
    <xf numFmtId="0" fontId="20" fillId="27" borderId="12" xfId="106" applyFont="1" applyFill="1" applyBorder="1" applyAlignment="1">
      <alignment horizontal="center" vertical="center" wrapText="1"/>
    </xf>
    <xf numFmtId="0" fontId="51" fillId="0" borderId="10" xfId="106" applyFont="1" applyBorder="1" applyAlignment="1">
      <alignment horizontal="center" vertical="center" wrapText="1"/>
    </xf>
    <xf numFmtId="0" fontId="15" fillId="29" borderId="34" xfId="1156" applyFont="1" applyFill="1" applyBorder="1" applyAlignment="1" applyProtection="1">
      <alignment horizontal="center" vertical="center" wrapText="1"/>
      <protection locked="0"/>
    </xf>
    <xf numFmtId="0" fontId="15" fillId="29" borderId="21" xfId="1156" applyFont="1" applyFill="1" applyBorder="1" applyAlignment="1" applyProtection="1">
      <alignment horizontal="center" vertical="center" wrapText="1"/>
      <protection locked="0"/>
    </xf>
    <xf numFmtId="0" fontId="15" fillId="29" borderId="13" xfId="1156" applyFont="1" applyFill="1" applyBorder="1" applyAlignment="1" applyProtection="1">
      <alignment horizontal="center" vertical="center" wrapText="1"/>
      <protection locked="0"/>
    </xf>
    <xf numFmtId="0" fontId="15" fillId="29" borderId="28" xfId="1156" applyFont="1" applyFill="1" applyBorder="1" applyAlignment="1" applyProtection="1">
      <alignment horizontal="center" vertical="center" wrapText="1"/>
      <protection locked="0"/>
    </xf>
    <xf numFmtId="0" fontId="15" fillId="0" borderId="17" xfId="1164" applyBorder="1" applyAlignment="1">
      <alignment horizontal="center" vertical="center" wrapText="1"/>
    </xf>
    <xf numFmtId="0" fontId="15" fillId="0" borderId="0" xfId="1164" applyAlignment="1" applyProtection="1">
      <alignment vertical="center" wrapText="1"/>
      <protection locked="0"/>
    </xf>
    <xf numFmtId="0" fontId="15" fillId="0" borderId="0" xfId="1164" applyAlignment="1" applyProtection="1">
      <alignment horizontal="center" vertical="center" wrapText="1"/>
      <protection locked="0"/>
    </xf>
    <xf numFmtId="0" fontId="15" fillId="0" borderId="31" xfId="1164" applyBorder="1" applyAlignment="1">
      <alignment horizontal="center" vertical="center" wrapText="1"/>
    </xf>
    <xf numFmtId="0" fontId="15" fillId="0" borderId="0" xfId="1164" applyAlignment="1">
      <alignment wrapText="1"/>
    </xf>
    <xf numFmtId="0" fontId="15" fillId="0" borderId="119" xfId="106" applyBorder="1" applyAlignment="1">
      <alignment horizontal="center" vertical="center" wrapText="1"/>
    </xf>
    <xf numFmtId="0" fontId="15" fillId="0" borderId="77" xfId="106" applyBorder="1" applyAlignment="1">
      <alignment horizontal="center" vertical="center" wrapText="1"/>
    </xf>
    <xf numFmtId="0" fontId="20" fillId="0" borderId="40" xfId="1164" applyFont="1" applyBorder="1" applyAlignment="1">
      <alignment horizontal="left" vertical="center" wrapText="1"/>
    </xf>
    <xf numFmtId="0" fontId="15" fillId="0" borderId="92" xfId="106" applyBorder="1" applyAlignment="1">
      <alignment horizontal="center" vertical="center" wrapText="1"/>
    </xf>
    <xf numFmtId="0" fontId="15" fillId="29" borderId="12" xfId="1156" applyFont="1" applyFill="1" applyBorder="1" applyAlignment="1" applyProtection="1">
      <alignment horizontal="center" vertical="center" wrapText="1"/>
      <protection locked="0"/>
    </xf>
    <xf numFmtId="0" fontId="15" fillId="0" borderId="35" xfId="106" applyBorder="1" applyAlignment="1">
      <alignment horizontal="center" vertical="center" wrapText="1"/>
    </xf>
    <xf numFmtId="0" fontId="15" fillId="0" borderId="37" xfId="106" applyBorder="1" applyAlignment="1">
      <alignment horizontal="center" vertical="center" wrapText="1"/>
    </xf>
    <xf numFmtId="0" fontId="15" fillId="69" borderId="131" xfId="106" applyFill="1" applyBorder="1" applyAlignment="1">
      <alignment horizontal="center" vertical="center" wrapText="1"/>
    </xf>
    <xf numFmtId="0" fontId="15" fillId="29" borderId="12" xfId="1156" applyFont="1" applyFill="1" applyBorder="1" applyAlignment="1" applyProtection="1">
      <alignment horizontal="center" vertical="center"/>
      <protection locked="0"/>
    </xf>
    <xf numFmtId="0" fontId="15" fillId="69" borderId="132" xfId="106" applyFill="1" applyBorder="1" applyAlignment="1">
      <alignment horizontal="center" vertical="center" wrapText="1"/>
    </xf>
    <xf numFmtId="0" fontId="15" fillId="29" borderId="13" xfId="1156" applyFont="1" applyFill="1" applyBorder="1" applyAlignment="1" applyProtection="1">
      <alignment horizontal="center" vertical="center"/>
      <protection locked="0"/>
    </xf>
    <xf numFmtId="0" fontId="20" fillId="26" borderId="109" xfId="106" applyFont="1" applyFill="1" applyBorder="1" applyAlignment="1">
      <alignment horizontal="center" vertical="center" wrapText="1"/>
    </xf>
    <xf numFmtId="0" fontId="20" fillId="26" borderId="12" xfId="106" applyFont="1" applyFill="1" applyBorder="1" applyAlignment="1">
      <alignment horizontal="center" vertical="center" wrapText="1"/>
    </xf>
    <xf numFmtId="0" fontId="20" fillId="0" borderId="0" xfId="106" applyFont="1" applyAlignment="1">
      <alignment vertical="center" wrapText="1"/>
    </xf>
    <xf numFmtId="0" fontId="15" fillId="0" borderId="0" xfId="1164" applyAlignment="1">
      <alignment horizontal="center" wrapText="1"/>
    </xf>
    <xf numFmtId="8" fontId="15" fillId="0" borderId="0" xfId="1164" applyNumberFormat="1" applyAlignment="1">
      <alignment horizontal="center" vertical="center" wrapText="1"/>
    </xf>
    <xf numFmtId="0" fontId="20" fillId="27" borderId="40" xfId="106" applyFont="1" applyFill="1" applyBorder="1" applyAlignment="1">
      <alignment horizontal="left" vertical="center" wrapText="1"/>
    </xf>
    <xf numFmtId="0" fontId="20" fillId="27" borderId="123" xfId="106" applyFont="1" applyFill="1" applyBorder="1" applyAlignment="1">
      <alignment horizontal="center" vertical="center" wrapText="1"/>
    </xf>
    <xf numFmtId="0" fontId="20" fillId="69" borderId="110" xfId="1164" applyFont="1" applyFill="1" applyBorder="1" applyAlignment="1">
      <alignment horizontal="left" vertical="center" wrapText="1"/>
    </xf>
    <xf numFmtId="0" fontId="20" fillId="69" borderId="127" xfId="1164" applyFont="1" applyFill="1" applyBorder="1" applyAlignment="1">
      <alignment horizontal="left" vertical="center" wrapText="1"/>
    </xf>
    <xf numFmtId="0" fontId="15" fillId="0" borderId="131" xfId="106" applyBorder="1" applyAlignment="1">
      <alignment horizontal="center" vertical="center" wrapText="1"/>
    </xf>
    <xf numFmtId="0" fontId="15" fillId="29" borderId="58" xfId="1156" applyFont="1" applyFill="1" applyBorder="1" applyAlignment="1" applyProtection="1">
      <alignment horizontal="center" vertical="center" wrapText="1"/>
      <protection locked="0"/>
    </xf>
    <xf numFmtId="0" fontId="20" fillId="26" borderId="40" xfId="106" applyFont="1" applyFill="1" applyBorder="1" applyAlignment="1">
      <alignment vertical="center"/>
    </xf>
    <xf numFmtId="0" fontId="20" fillId="26" borderId="48" xfId="106" applyFont="1" applyFill="1" applyBorder="1" applyAlignment="1">
      <alignment vertical="center"/>
    </xf>
    <xf numFmtId="0" fontId="20" fillId="26" borderId="12" xfId="106" applyFont="1" applyFill="1" applyBorder="1" applyAlignment="1">
      <alignment horizontal="center" vertical="center"/>
    </xf>
    <xf numFmtId="0" fontId="20" fillId="27" borderId="127" xfId="106" applyFont="1" applyFill="1" applyBorder="1" applyAlignment="1">
      <alignment vertical="center" wrapText="1"/>
    </xf>
    <xf numFmtId="0" fontId="20" fillId="27" borderId="124" xfId="106" applyFont="1" applyFill="1" applyBorder="1" applyAlignment="1">
      <alignment vertical="center" wrapText="1"/>
    </xf>
    <xf numFmtId="0" fontId="20" fillId="27" borderId="131" xfId="106" applyFont="1" applyFill="1" applyBorder="1" applyAlignment="1">
      <alignment horizontal="center" vertical="center" wrapText="1"/>
    </xf>
    <xf numFmtId="0" fontId="20" fillId="27" borderId="12" xfId="1166" applyFont="1" applyFill="1" applyBorder="1" applyAlignment="1" applyProtection="1">
      <alignment horizontal="center" vertical="center"/>
    </xf>
    <xf numFmtId="0" fontId="20" fillId="0" borderId="90" xfId="106" applyFont="1" applyBorder="1" applyAlignment="1">
      <alignment horizontal="left" vertical="center" wrapText="1"/>
    </xf>
    <xf numFmtId="0" fontId="16" fillId="27" borderId="123" xfId="106" applyFont="1" applyFill="1" applyBorder="1" applyAlignment="1">
      <alignment horizontal="center" vertical="center" wrapText="1"/>
    </xf>
    <xf numFmtId="0" fontId="15" fillId="29" borderId="45" xfId="1162" applyFill="1" applyBorder="1" applyAlignment="1" applyProtection="1">
      <alignment horizontal="center" vertical="center"/>
      <protection locked="0"/>
    </xf>
    <xf numFmtId="0" fontId="49" fillId="0" borderId="0" xfId="106" applyFont="1" applyAlignment="1">
      <alignment vertical="center"/>
    </xf>
    <xf numFmtId="0" fontId="51" fillId="0" borderId="0" xfId="106" applyFont="1" applyAlignment="1">
      <alignment vertical="center"/>
    </xf>
    <xf numFmtId="0" fontId="20" fillId="69" borderId="36" xfId="106" applyFont="1" applyFill="1" applyBorder="1" applyAlignment="1">
      <alignment horizontal="left" vertical="center" wrapText="1"/>
    </xf>
    <xf numFmtId="0" fontId="15" fillId="29" borderId="28" xfId="1162" applyFill="1" applyBorder="1" applyAlignment="1" applyProtection="1">
      <alignment horizontal="center" vertical="center"/>
      <protection locked="0"/>
    </xf>
    <xf numFmtId="0" fontId="15" fillId="69" borderId="30" xfId="106" applyFill="1" applyBorder="1" applyAlignment="1">
      <alignment horizontal="left" vertical="center" wrapText="1"/>
    </xf>
    <xf numFmtId="0" fontId="15" fillId="69" borderId="47" xfId="106" applyFill="1" applyBorder="1" applyAlignment="1">
      <alignment horizontal="left" vertical="center" wrapText="1"/>
    </xf>
    <xf numFmtId="0" fontId="20" fillId="0" borderId="36" xfId="106" applyFont="1" applyBorder="1" applyAlignment="1">
      <alignment horizontal="left" vertical="center" wrapText="1"/>
    </xf>
    <xf numFmtId="0" fontId="15" fillId="0" borderId="42" xfId="1162" applyBorder="1" applyAlignment="1">
      <alignment horizontal="left" vertical="center" wrapText="1"/>
    </xf>
    <xf numFmtId="0" fontId="15" fillId="0" borderId="10" xfId="1162" applyBorder="1" applyAlignment="1">
      <alignment horizontal="left" vertical="center" wrapText="1"/>
    </xf>
    <xf numFmtId="0" fontId="15" fillId="29" borderId="33" xfId="1162" applyFill="1" applyBorder="1" applyAlignment="1" applyProtection="1">
      <alignment horizontal="center" vertical="center"/>
      <protection locked="0"/>
    </xf>
    <xf numFmtId="0" fontId="15" fillId="0" borderId="39" xfId="1162" applyBorder="1" applyAlignment="1">
      <alignment horizontal="left" vertical="center" wrapText="1"/>
    </xf>
    <xf numFmtId="0" fontId="15" fillId="0" borderId="95" xfId="106" applyBorder="1" applyAlignment="1">
      <alignment horizontal="center" vertical="center" wrapText="1"/>
    </xf>
    <xf numFmtId="0" fontId="51" fillId="27" borderId="124" xfId="1162" applyFont="1" applyFill="1" applyBorder="1" applyAlignment="1">
      <alignment vertical="center" wrapText="1"/>
    </xf>
    <xf numFmtId="0" fontId="16" fillId="0" borderId="12" xfId="106" applyFont="1" applyBorder="1" applyAlignment="1">
      <alignment horizontal="center" vertical="center"/>
    </xf>
    <xf numFmtId="0" fontId="51" fillId="0" borderId="35" xfId="1162" applyFont="1" applyBorder="1" applyAlignment="1">
      <alignment horizontal="center" vertical="center" wrapText="1"/>
    </xf>
    <xf numFmtId="0" fontId="51" fillId="0" borderId="35" xfId="106" applyFont="1" applyBorder="1" applyAlignment="1">
      <alignment horizontal="center" vertical="center" wrapText="1"/>
    </xf>
    <xf numFmtId="0" fontId="51" fillId="0" borderId="53" xfId="1162" applyFont="1" applyBorder="1" applyAlignment="1">
      <alignment horizontal="center" vertical="center" wrapText="1"/>
    </xf>
    <xf numFmtId="0" fontId="51" fillId="0" borderId="53" xfId="106" applyFont="1" applyBorder="1" applyAlignment="1">
      <alignment horizontal="center" vertical="center" wrapText="1"/>
    </xf>
    <xf numFmtId="0" fontId="51" fillId="0" borderId="37" xfId="1162" applyFont="1" applyBorder="1" applyAlignment="1">
      <alignment horizontal="center" vertical="center" wrapText="1"/>
    </xf>
    <xf numFmtId="0" fontId="51" fillId="0" borderId="37" xfId="106" applyFont="1" applyBorder="1" applyAlignment="1">
      <alignment horizontal="center" vertical="center" wrapText="1"/>
    </xf>
    <xf numFmtId="0" fontId="20" fillId="0" borderId="127" xfId="106" applyFont="1" applyBorder="1" applyAlignment="1">
      <alignment horizontal="left" vertical="center" wrapText="1"/>
    </xf>
    <xf numFmtId="0" fontId="15" fillId="0" borderId="123" xfId="106" applyBorder="1" applyAlignment="1">
      <alignment horizontal="center" vertical="center" wrapText="1"/>
    </xf>
    <xf numFmtId="0" fontId="15" fillId="29" borderId="12" xfId="1162" applyFill="1" applyBorder="1" applyAlignment="1" applyProtection="1">
      <alignment horizontal="center" vertical="center"/>
      <protection locked="0"/>
    </xf>
    <xf numFmtId="0" fontId="15" fillId="29" borderId="13" xfId="1162" applyFill="1" applyBorder="1" applyAlignment="1" applyProtection="1">
      <alignment horizontal="center" vertical="center"/>
      <protection locked="0"/>
    </xf>
    <xf numFmtId="1" fontId="20" fillId="26" borderId="13" xfId="106" applyNumberFormat="1" applyFont="1" applyFill="1" applyBorder="1" applyAlignment="1">
      <alignment horizontal="center" vertical="center" wrapText="1"/>
    </xf>
    <xf numFmtId="0" fontId="15" fillId="0" borderId="38" xfId="106" applyBorder="1" applyAlignment="1">
      <alignment horizontal="center" vertical="center"/>
    </xf>
    <xf numFmtId="0" fontId="15" fillId="0" borderId="0" xfId="1155"/>
    <xf numFmtId="0" fontId="15" fillId="0" borderId="0" xfId="1155" applyAlignment="1">
      <alignment horizontal="center" vertical="center"/>
    </xf>
    <xf numFmtId="0" fontId="20" fillId="0" borderId="0" xfId="1155" applyFont="1" applyAlignment="1">
      <alignment horizontal="center"/>
    </xf>
    <xf numFmtId="0" fontId="27" fillId="27" borderId="127" xfId="1155" applyFont="1" applyFill="1" applyBorder="1" applyAlignment="1">
      <alignment vertical="center" wrapText="1"/>
    </xf>
    <xf numFmtId="0" fontId="27" fillId="27" borderId="123" xfId="1155" applyFont="1" applyFill="1" applyBorder="1" applyAlignment="1">
      <alignment vertical="center" wrapText="1"/>
    </xf>
    <xf numFmtId="0" fontId="27" fillId="27" borderId="131" xfId="1155" applyFont="1" applyFill="1" applyBorder="1" applyAlignment="1">
      <alignment horizontal="center" vertical="center" wrapText="1"/>
    </xf>
    <xf numFmtId="0" fontId="27" fillId="27" borderId="12" xfId="1155" applyFont="1" applyFill="1" applyBorder="1" applyAlignment="1">
      <alignment horizontal="center" vertical="center" wrapText="1"/>
    </xf>
    <xf numFmtId="0" fontId="15" fillId="0" borderId="0" xfId="1155" applyAlignment="1">
      <alignment vertical="center"/>
    </xf>
    <xf numFmtId="0" fontId="15" fillId="0" borderId="10" xfId="1155" applyBorder="1" applyAlignment="1">
      <alignment horizontal="center" vertical="center"/>
    </xf>
    <xf numFmtId="0" fontId="25" fillId="0" borderId="127" xfId="1155" applyFont="1" applyBorder="1" applyAlignment="1">
      <alignment vertical="center" wrapText="1"/>
    </xf>
    <xf numFmtId="0" fontId="25" fillId="0" borderId="123" xfId="106" applyFont="1" applyBorder="1" applyAlignment="1">
      <alignment vertical="center" wrapText="1"/>
    </xf>
    <xf numFmtId="0" fontId="25" fillId="0" borderId="131" xfId="1155" applyFont="1" applyBorder="1" applyAlignment="1">
      <alignment horizontal="center" vertical="center" wrapText="1"/>
    </xf>
    <xf numFmtId="0" fontId="15" fillId="29" borderId="12" xfId="1155" applyFill="1" applyBorder="1" applyAlignment="1" applyProtection="1">
      <alignment horizontal="center" vertical="center" wrapText="1"/>
      <protection locked="0"/>
    </xf>
    <xf numFmtId="0" fontId="15" fillId="0" borderId="0" xfId="1155" applyProtection="1">
      <protection locked="0"/>
    </xf>
    <xf numFmtId="0" fontId="15" fillId="0" borderId="10" xfId="1155" applyBorder="1" applyAlignment="1" applyProtection="1">
      <alignment horizontal="center" vertical="center"/>
      <protection locked="0"/>
    </xf>
    <xf numFmtId="0" fontId="15" fillId="36" borderId="0" xfId="1155" applyFill="1"/>
    <xf numFmtId="0" fontId="60" fillId="0" borderId="123" xfId="1155" applyFont="1" applyBorder="1" applyAlignment="1">
      <alignment vertical="center" wrapText="1"/>
    </xf>
    <xf numFmtId="0" fontId="15" fillId="0" borderId="123" xfId="1164" applyBorder="1" applyAlignment="1">
      <alignment horizontal="left" vertical="center" wrapText="1"/>
    </xf>
    <xf numFmtId="0" fontId="15" fillId="0" borderId="123" xfId="1164" applyBorder="1" applyAlignment="1">
      <alignment horizontal="center" vertical="center" wrapText="1"/>
    </xf>
    <xf numFmtId="0" fontId="109" fillId="0" borderId="123" xfId="1155" applyFont="1" applyBorder="1" applyAlignment="1">
      <alignment vertical="center" wrapText="1"/>
    </xf>
    <xf numFmtId="0" fontId="15" fillId="28" borderId="12" xfId="1155" applyFill="1" applyBorder="1" applyAlignment="1" applyProtection="1">
      <alignment horizontal="center" vertical="center" wrapText="1"/>
      <protection locked="0"/>
    </xf>
    <xf numFmtId="0" fontId="25" fillId="0" borderId="90" xfId="1155" applyFont="1" applyBorder="1" applyAlignment="1">
      <alignment vertical="center" wrapText="1"/>
    </xf>
    <xf numFmtId="0" fontId="109" fillId="0" borderId="41" xfId="1155" applyFont="1" applyBorder="1" applyAlignment="1">
      <alignment vertical="center" wrapText="1"/>
    </xf>
    <xf numFmtId="0" fontId="25" fillId="0" borderId="15" xfId="1155" applyFont="1" applyBorder="1" applyAlignment="1">
      <alignment horizontal="center" vertical="center" wrapText="1"/>
    </xf>
    <xf numFmtId="0" fontId="15" fillId="28" borderId="21" xfId="1155" applyFill="1" applyBorder="1" applyAlignment="1" applyProtection="1">
      <alignment horizontal="center" vertical="center" wrapText="1"/>
      <protection locked="0"/>
    </xf>
    <xf numFmtId="0" fontId="28" fillId="26" borderId="54" xfId="1155" applyFont="1" applyFill="1" applyBorder="1" applyAlignment="1">
      <alignment vertical="center" wrapText="1"/>
    </xf>
    <xf numFmtId="0" fontId="16" fillId="0" borderId="0" xfId="1155" applyFont="1" applyAlignment="1">
      <alignment vertical="center"/>
    </xf>
    <xf numFmtId="0" fontId="25" fillId="0" borderId="0" xfId="1155" applyFont="1" applyAlignment="1">
      <alignment horizontal="left" vertical="top" wrapText="1"/>
    </xf>
    <xf numFmtId="0" fontId="15" fillId="0" borderId="0" xfId="1143" applyFont="1" applyAlignment="1">
      <alignment horizontal="center" vertical="center"/>
    </xf>
    <xf numFmtId="0" fontId="78" fillId="26" borderId="13" xfId="106" applyFont="1" applyFill="1" applyBorder="1" applyAlignment="1">
      <alignment horizontal="center" vertical="center" wrapText="1"/>
    </xf>
    <xf numFmtId="0" fontId="15" fillId="27" borderId="31" xfId="106" applyFill="1" applyBorder="1" applyAlignment="1">
      <alignment horizontal="center" vertical="center" wrapText="1"/>
    </xf>
    <xf numFmtId="0" fontId="15" fillId="27" borderId="95" xfId="106" applyFill="1" applyBorder="1" applyAlignment="1">
      <alignment horizontal="left" vertical="center" wrapText="1"/>
    </xf>
    <xf numFmtId="0" fontId="60" fillId="0" borderId="17" xfId="1143" applyBorder="1" applyAlignment="1">
      <alignment horizontal="center" vertical="center" wrapText="1"/>
    </xf>
    <xf numFmtId="0" fontId="60" fillId="0" borderId="80" xfId="1143" applyBorder="1" applyAlignment="1">
      <alignment vertical="center" wrapText="1"/>
    </xf>
    <xf numFmtId="0" fontId="60" fillId="0" borderId="56" xfId="1143" applyBorder="1" applyAlignment="1">
      <alignment vertical="center" wrapText="1"/>
    </xf>
    <xf numFmtId="0" fontId="19" fillId="27" borderId="123" xfId="106" applyFont="1" applyFill="1" applyBorder="1" applyAlignment="1">
      <alignment horizontal="center" vertical="center" wrapText="1"/>
    </xf>
    <xf numFmtId="0" fontId="19" fillId="27" borderId="124" xfId="106" applyFont="1" applyFill="1" applyBorder="1" applyAlignment="1">
      <alignment vertical="center" wrapText="1"/>
    </xf>
    <xf numFmtId="0" fontId="19" fillId="27" borderId="127" xfId="106" applyFont="1" applyFill="1" applyBorder="1" applyAlignment="1">
      <alignment vertical="center" wrapText="1"/>
    </xf>
    <xf numFmtId="0" fontId="27" fillId="27" borderId="127" xfId="106" applyFont="1" applyFill="1" applyBorder="1" applyAlignment="1">
      <alignment vertical="center" wrapText="1"/>
    </xf>
    <xf numFmtId="0" fontId="27" fillId="27" borderId="123" xfId="106" applyFont="1" applyFill="1" applyBorder="1" applyAlignment="1">
      <alignment horizontal="center" vertical="center" wrapText="1"/>
    </xf>
    <xf numFmtId="0" fontId="27" fillId="27" borderId="12" xfId="106" applyFont="1" applyFill="1" applyBorder="1" applyAlignment="1">
      <alignment horizontal="center" vertical="center" wrapText="1"/>
    </xf>
    <xf numFmtId="0" fontId="25" fillId="0" borderId="56" xfId="106" applyFont="1" applyBorder="1" applyAlignment="1">
      <alignment vertical="center" wrapText="1"/>
    </xf>
    <xf numFmtId="0" fontId="25" fillId="0" borderId="0" xfId="106" applyFont="1" applyAlignment="1">
      <alignment horizontal="center" vertical="center" wrapText="1"/>
    </xf>
    <xf numFmtId="0" fontId="15" fillId="29" borderId="19" xfId="1156" applyFont="1" applyFill="1" applyBorder="1" applyAlignment="1" applyProtection="1">
      <alignment horizontal="center" vertical="center" wrapText="1"/>
    </xf>
    <xf numFmtId="0" fontId="15" fillId="0" borderId="32" xfId="106" applyBorder="1"/>
    <xf numFmtId="0" fontId="25" fillId="0" borderId="47" xfId="106" applyFont="1" applyBorder="1" applyAlignment="1">
      <alignment vertical="center" wrapText="1"/>
    </xf>
    <xf numFmtId="0" fontId="15" fillId="29" borderId="33" xfId="1156" applyFont="1" applyFill="1" applyBorder="1" applyAlignment="1" applyProtection="1">
      <alignment horizontal="center" vertical="center" wrapText="1"/>
    </xf>
    <xf numFmtId="0" fontId="15" fillId="0" borderId="10" xfId="106" applyBorder="1"/>
    <xf numFmtId="0" fontId="19" fillId="44" borderId="50" xfId="1143" applyFont="1" applyFill="1" applyBorder="1" applyAlignment="1">
      <alignment horizontal="left" vertical="center" wrapText="1"/>
    </xf>
    <xf numFmtId="0" fontId="19" fillId="45" borderId="51" xfId="1143" applyFont="1" applyFill="1" applyBorder="1" applyAlignment="1">
      <alignment horizontal="center" vertical="center" wrapText="1"/>
    </xf>
    <xf numFmtId="0" fontId="19" fillId="44" borderId="18" xfId="1143" applyFont="1" applyFill="1" applyBorder="1" applyAlignment="1">
      <alignment horizontal="left" vertical="center" wrapText="1"/>
    </xf>
    <xf numFmtId="0" fontId="19" fillId="44" borderId="24" xfId="1143" applyFont="1" applyFill="1" applyBorder="1" applyAlignment="1">
      <alignment horizontal="left" vertical="center" wrapText="1"/>
    </xf>
    <xf numFmtId="0" fontId="19" fillId="26" borderId="25" xfId="1143" applyFont="1" applyFill="1" applyBorder="1" applyAlignment="1">
      <alignment horizontal="center" vertical="center" wrapText="1"/>
    </xf>
    <xf numFmtId="165" fontId="19" fillId="0" borderId="85" xfId="0" applyNumberFormat="1" applyFont="1" applyBorder="1" applyAlignment="1">
      <alignment horizontal="center" vertical="center" wrapText="1"/>
    </xf>
    <xf numFmtId="165" fontId="19" fillId="0" borderId="86" xfId="0" applyNumberFormat="1" applyFont="1" applyBorder="1" applyAlignment="1">
      <alignment horizontal="center" vertical="center" wrapText="1"/>
    </xf>
    <xf numFmtId="165" fontId="19" fillId="0" borderId="87" xfId="0" applyNumberFormat="1" applyFont="1" applyBorder="1" applyAlignment="1">
      <alignment horizontal="center" vertical="center" wrapText="1"/>
    </xf>
    <xf numFmtId="165" fontId="19" fillId="0" borderId="88" xfId="0" applyNumberFormat="1" applyFont="1" applyBorder="1" applyAlignment="1">
      <alignment horizontal="center" vertical="center" wrapText="1"/>
    </xf>
    <xf numFmtId="165" fontId="20" fillId="0" borderId="85" xfId="0" applyNumberFormat="1" applyFont="1" applyBorder="1" applyAlignment="1">
      <alignment horizontal="center" vertical="center" wrapText="1"/>
    </xf>
    <xf numFmtId="165" fontId="20" fillId="0" borderId="86" xfId="0" applyNumberFormat="1" applyFont="1" applyBorder="1" applyAlignment="1">
      <alignment horizontal="center" vertical="center" wrapText="1"/>
    </xf>
    <xf numFmtId="165" fontId="20" fillId="0" borderId="120" xfId="0" applyNumberFormat="1" applyFont="1" applyBorder="1" applyAlignment="1">
      <alignment horizontal="center" vertical="center" wrapText="1"/>
    </xf>
    <xf numFmtId="165" fontId="20" fillId="0" borderId="121" xfId="0" applyNumberFormat="1" applyFont="1" applyBorder="1" applyAlignment="1">
      <alignment horizontal="center" vertical="center" wrapText="1"/>
    </xf>
    <xf numFmtId="165" fontId="20" fillId="0" borderId="87" xfId="0" applyNumberFormat="1" applyFont="1" applyBorder="1" applyAlignment="1">
      <alignment horizontal="center" vertical="center" wrapText="1"/>
    </xf>
    <xf numFmtId="165" fontId="20" fillId="0" borderId="88" xfId="0" applyNumberFormat="1" applyFont="1" applyBorder="1" applyAlignment="1">
      <alignment horizontal="center" vertical="center" wrapText="1"/>
    </xf>
    <xf numFmtId="0" fontId="15" fillId="0" borderId="16" xfId="106" applyBorder="1" applyAlignment="1">
      <alignment horizontal="left" vertical="center" wrapText="1"/>
    </xf>
    <xf numFmtId="0" fontId="19" fillId="28" borderId="40" xfId="106" applyFont="1" applyFill="1" applyBorder="1" applyAlignment="1">
      <alignment horizontal="center" vertical="center"/>
    </xf>
    <xf numFmtId="0" fontId="19" fillId="28" borderId="48" xfId="106" applyFont="1" applyFill="1" applyBorder="1" applyAlignment="1">
      <alignment horizontal="center" vertical="center"/>
    </xf>
    <xf numFmtId="0" fontId="19" fillId="28" borderId="122" xfId="106" applyFont="1" applyFill="1" applyBorder="1" applyAlignment="1">
      <alignment horizontal="center" vertical="center"/>
    </xf>
    <xf numFmtId="0" fontId="86" fillId="26" borderId="40" xfId="106" applyFont="1" applyFill="1" applyBorder="1" applyAlignment="1">
      <alignment horizontal="right" vertical="center" wrapText="1"/>
    </xf>
    <xf numFmtId="0" fontId="86" fillId="26" borderId="48" xfId="106" applyFont="1" applyFill="1" applyBorder="1" applyAlignment="1">
      <alignment horizontal="right" vertical="center" wrapText="1"/>
    </xf>
    <xf numFmtId="0" fontId="86" fillId="26" borderId="122" xfId="106" applyFont="1" applyFill="1" applyBorder="1" applyAlignment="1">
      <alignment horizontal="right" vertical="center" wrapText="1"/>
    </xf>
    <xf numFmtId="166" fontId="19" fillId="0" borderId="10" xfId="85" applyNumberFormat="1" applyFont="1" applyBorder="1" applyAlignment="1" applyProtection="1">
      <alignment horizontal="left" vertical="center" wrapText="1"/>
    </xf>
    <xf numFmtId="166" fontId="19" fillId="0" borderId="39" xfId="85" applyNumberFormat="1" applyFont="1" applyBorder="1" applyAlignment="1" applyProtection="1">
      <alignment horizontal="left" vertical="center" wrapText="1"/>
    </xf>
    <xf numFmtId="0" fontId="62" fillId="0" borderId="10" xfId="0" applyFont="1" applyBorder="1" applyAlignment="1">
      <alignment horizontal="left" vertical="center" wrapText="1"/>
    </xf>
    <xf numFmtId="0" fontId="59" fillId="0" borderId="0" xfId="1167" applyFont="1" applyAlignment="1">
      <alignment horizontal="center" vertical="center"/>
    </xf>
    <xf numFmtId="0" fontId="59" fillId="0" borderId="0" xfId="1167" applyFont="1"/>
    <xf numFmtId="0" fontId="20" fillId="27" borderId="40" xfId="106" applyFont="1" applyFill="1" applyBorder="1" applyAlignment="1">
      <alignment vertical="center" wrapText="1"/>
    </xf>
    <xf numFmtId="0" fontId="51" fillId="0" borderId="47" xfId="106" applyFont="1" applyBorder="1" applyAlignment="1">
      <alignment horizontal="center" vertical="center" wrapText="1"/>
    </xf>
    <xf numFmtId="0" fontId="15" fillId="0" borderId="90" xfId="106" applyBorder="1" applyAlignment="1">
      <alignment horizontal="left" vertical="center" wrapText="1"/>
    </xf>
    <xf numFmtId="0" fontId="28" fillId="26" borderId="48" xfId="106" applyFont="1" applyFill="1" applyBorder="1" applyAlignment="1">
      <alignment vertical="center" wrapText="1"/>
    </xf>
    <xf numFmtId="0" fontId="59" fillId="0" borderId="0" xfId="1167" applyFont="1" applyAlignment="1">
      <alignment horizontal="center" vertical="center" wrapText="1"/>
    </xf>
    <xf numFmtId="0" fontId="19" fillId="0" borderId="89" xfId="0" applyFont="1" applyBorder="1" applyAlignment="1">
      <alignment horizontal="center" vertical="center" wrapText="1"/>
    </xf>
    <xf numFmtId="1" fontId="20" fillId="26" borderId="52" xfId="0" applyNumberFormat="1" applyFont="1" applyFill="1" applyBorder="1" applyAlignment="1">
      <alignment horizontal="center" vertical="center" wrapText="1"/>
    </xf>
    <xf numFmtId="166" fontId="19" fillId="0" borderId="42" xfId="85" applyNumberFormat="1" applyFont="1" applyBorder="1" applyAlignment="1" applyProtection="1">
      <alignment horizontal="left" vertical="center" wrapText="1"/>
    </xf>
    <xf numFmtId="3" fontId="20" fillId="0" borderId="0" xfId="0" applyNumberFormat="1" applyFont="1" applyAlignment="1" applyProtection="1">
      <alignment horizontal="center" vertical="center"/>
      <protection locked="0"/>
    </xf>
    <xf numFmtId="1" fontId="48" fillId="32" borderId="58" xfId="0" applyNumberFormat="1" applyFont="1" applyFill="1" applyBorder="1" applyAlignment="1" applyProtection="1">
      <alignment horizontal="center" vertical="center" wrapText="1"/>
      <protection locked="0"/>
    </xf>
    <xf numFmtId="1" fontId="21" fillId="36" borderId="48" xfId="0" applyNumberFormat="1" applyFont="1" applyFill="1" applyBorder="1" applyAlignment="1" applyProtection="1">
      <alignment horizontal="center" vertical="center" wrapText="1"/>
      <protection locked="0"/>
    </xf>
    <xf numFmtId="0" fontId="47" fillId="0" borderId="48" xfId="0" applyFont="1" applyBorder="1" applyAlignment="1">
      <alignment vertical="center" wrapText="1"/>
    </xf>
    <xf numFmtId="0" fontId="47" fillId="0" borderId="44" xfId="0" applyFont="1" applyBorder="1" applyAlignment="1" applyProtection="1">
      <alignment vertical="center"/>
      <protection locked="0"/>
    </xf>
    <xf numFmtId="165" fontId="46" fillId="32" borderId="16" xfId="0" applyNumberFormat="1" applyFont="1" applyFill="1" applyBorder="1" applyAlignment="1">
      <alignment horizontal="center" vertical="center" wrapText="1"/>
    </xf>
    <xf numFmtId="9" fontId="65" fillId="29" borderId="42" xfId="144" applyNumberFormat="1" applyFont="1" applyFill="1" applyBorder="1" applyAlignment="1" applyProtection="1">
      <alignment horizontal="center"/>
      <protection locked="0"/>
    </xf>
    <xf numFmtId="0" fontId="65" fillId="0" borderId="20" xfId="144" applyFont="1" applyBorder="1" applyAlignment="1">
      <alignment horizontal="center"/>
    </xf>
    <xf numFmtId="0" fontId="59" fillId="0" borderId="20" xfId="144" applyFont="1" applyBorder="1" applyAlignment="1">
      <alignment horizontal="center"/>
    </xf>
    <xf numFmtId="0" fontId="59" fillId="0" borderId="45" xfId="144" applyFont="1" applyBorder="1" applyAlignment="1">
      <alignment horizontal="center"/>
    </xf>
    <xf numFmtId="0" fontId="65" fillId="27" borderId="122" xfId="144" applyFont="1" applyFill="1" applyBorder="1" applyAlignment="1">
      <alignment horizontal="center"/>
    </xf>
    <xf numFmtId="0" fontId="59" fillId="27" borderId="124" xfId="144" applyFont="1" applyFill="1" applyBorder="1" applyAlignment="1">
      <alignment horizontal="center" wrapText="1"/>
    </xf>
    <xf numFmtId="0" fontId="59" fillId="27" borderId="131" xfId="144" applyFont="1" applyFill="1" applyBorder="1" applyAlignment="1">
      <alignment horizontal="center"/>
    </xf>
    <xf numFmtId="0" fontId="19" fillId="27" borderId="119" xfId="106" applyFont="1" applyFill="1" applyBorder="1" applyAlignment="1">
      <alignment horizontal="center" vertical="center" wrapText="1"/>
    </xf>
    <xf numFmtId="0" fontId="19" fillId="27" borderId="58" xfId="106" applyFont="1" applyFill="1" applyBorder="1" applyAlignment="1">
      <alignment horizontal="center" vertical="center" wrapText="1"/>
    </xf>
    <xf numFmtId="0" fontId="15" fillId="0" borderId="47" xfId="106" applyBorder="1" applyAlignment="1">
      <alignment horizontal="center" vertical="center" wrapText="1"/>
    </xf>
    <xf numFmtId="0" fontId="19" fillId="36" borderId="40" xfId="106" applyFont="1" applyFill="1" applyBorder="1" applyAlignment="1">
      <alignment vertical="center" wrapText="1"/>
    </xf>
    <xf numFmtId="0" fontId="15" fillId="36" borderId="54" xfId="106" applyFill="1" applyBorder="1" applyAlignment="1">
      <alignment horizontal="center" vertical="center" wrapText="1"/>
    </xf>
    <xf numFmtId="0" fontId="15" fillId="0" borderId="19" xfId="106" applyBorder="1" applyAlignment="1">
      <alignment horizontal="center" vertical="center" wrapText="1"/>
    </xf>
    <xf numFmtId="0" fontId="49" fillId="29" borderId="58" xfId="1156" applyFont="1" applyFill="1" applyBorder="1" applyAlignment="1" applyProtection="1">
      <alignment horizontal="center" vertical="center" wrapText="1"/>
      <protection locked="0"/>
    </xf>
    <xf numFmtId="0" fontId="15" fillId="0" borderId="50" xfId="106" applyBorder="1" applyAlignment="1">
      <alignment vertical="center" wrapText="1"/>
    </xf>
    <xf numFmtId="0" fontId="15" fillId="0" borderId="29" xfId="106" applyBorder="1" applyAlignment="1">
      <alignment vertical="center" wrapText="1"/>
    </xf>
    <xf numFmtId="0" fontId="49" fillId="29" borderId="21" xfId="1156" applyFont="1" applyFill="1" applyBorder="1" applyAlignment="1" applyProtection="1">
      <alignment horizontal="center" vertical="center" wrapText="1"/>
      <protection locked="0"/>
    </xf>
    <xf numFmtId="0" fontId="20" fillId="26" borderId="127" xfId="106" applyFont="1" applyFill="1" applyBorder="1" applyAlignment="1">
      <alignment vertical="center" wrapText="1"/>
    </xf>
    <xf numFmtId="0" fontId="20" fillId="26" borderId="131" xfId="106" applyFont="1" applyFill="1" applyBorder="1" applyAlignment="1">
      <alignment horizontal="center" vertical="center"/>
    </xf>
    <xf numFmtId="166" fontId="19" fillId="0" borderId="89" xfId="85" applyNumberFormat="1" applyFont="1" applyBorder="1" applyAlignment="1" applyProtection="1">
      <alignment horizontal="left" vertical="center" wrapText="1"/>
    </xf>
    <xf numFmtId="165" fontId="20" fillId="30" borderId="124" xfId="0" applyNumberFormat="1" applyFont="1" applyFill="1" applyBorder="1" applyAlignment="1">
      <alignment horizontal="center" vertical="center" wrapText="1"/>
    </xf>
    <xf numFmtId="1" fontId="20" fillId="30" borderId="131" xfId="0" applyNumberFormat="1" applyFont="1" applyFill="1" applyBorder="1" applyAlignment="1">
      <alignment horizontal="center" vertical="center" wrapText="1"/>
    </xf>
    <xf numFmtId="165" fontId="46" fillId="33" borderId="104" xfId="0" applyNumberFormat="1" applyFont="1" applyFill="1" applyBorder="1" applyAlignment="1">
      <alignment horizontal="center" vertical="center" wrapText="1"/>
    </xf>
    <xf numFmtId="165" fontId="20" fillId="30" borderId="127" xfId="0" applyNumberFormat="1" applyFont="1" applyFill="1" applyBorder="1" applyAlignment="1">
      <alignment horizontal="center" vertical="center" wrapText="1"/>
    </xf>
    <xf numFmtId="1" fontId="46" fillId="33" borderId="92" xfId="0" applyNumberFormat="1" applyFont="1" applyFill="1" applyBorder="1" applyAlignment="1">
      <alignment horizontal="center" vertical="center" wrapText="1"/>
    </xf>
    <xf numFmtId="165" fontId="46" fillId="33" borderId="127" xfId="0" applyNumberFormat="1" applyFont="1" applyFill="1" applyBorder="1" applyAlignment="1">
      <alignment horizontal="center" vertical="center" wrapText="1"/>
    </xf>
    <xf numFmtId="1" fontId="46" fillId="33" borderId="54" xfId="0" applyNumberFormat="1" applyFont="1" applyFill="1" applyBorder="1" applyAlignment="1">
      <alignment horizontal="center" vertical="center" wrapText="1"/>
    </xf>
    <xf numFmtId="165" fontId="19" fillId="0" borderId="36" xfId="0" applyNumberFormat="1" applyFont="1" applyBorder="1" applyAlignment="1">
      <alignment horizontal="center" vertical="center" wrapText="1"/>
    </xf>
    <xf numFmtId="1" fontId="21" fillId="26" borderId="19" xfId="0" applyNumberFormat="1" applyFont="1" applyFill="1" applyBorder="1" applyAlignment="1" applyProtection="1">
      <alignment horizontal="center" vertical="center" wrapText="1"/>
      <protection locked="0"/>
    </xf>
    <xf numFmtId="1" fontId="48" fillId="23" borderId="12" xfId="0" applyNumberFormat="1" applyFont="1" applyFill="1" applyBorder="1" applyAlignment="1" applyProtection="1">
      <alignment horizontal="center" vertical="center" wrapText="1"/>
      <protection locked="0"/>
    </xf>
    <xf numFmtId="0" fontId="19" fillId="0" borderId="41" xfId="0" applyFont="1" applyBorder="1" applyAlignment="1">
      <alignment horizontal="center" vertical="center" wrapText="1"/>
    </xf>
    <xf numFmtId="0" fontId="46" fillId="23" borderId="40" xfId="0" applyFont="1" applyFill="1" applyBorder="1" applyAlignment="1">
      <alignment horizontal="center" vertical="center"/>
    </xf>
    <xf numFmtId="164" fontId="46" fillId="23" borderId="48" xfId="0" applyNumberFormat="1" applyFont="1" applyFill="1" applyBorder="1" applyAlignment="1">
      <alignment horizontal="center" vertical="center"/>
    </xf>
    <xf numFmtId="0" fontId="46" fillId="23" borderId="48" xfId="0" applyFont="1" applyFill="1" applyBorder="1" applyAlignment="1">
      <alignment horizontal="left" vertical="center" wrapText="1"/>
    </xf>
    <xf numFmtId="0" fontId="46" fillId="23" borderId="124" xfId="0" applyFont="1" applyFill="1" applyBorder="1" applyAlignment="1">
      <alignment vertical="center" wrapText="1"/>
    </xf>
    <xf numFmtId="165" fontId="46" fillId="23" borderId="123" xfId="0" applyNumberFormat="1" applyFont="1" applyFill="1" applyBorder="1" applyAlignment="1">
      <alignment horizontal="center" vertical="center" wrapText="1"/>
    </xf>
    <xf numFmtId="1" fontId="46" fillId="37" borderId="131" xfId="0" applyNumberFormat="1" applyFont="1" applyFill="1" applyBorder="1" applyAlignment="1">
      <alignment horizontal="center" vertical="center" wrapText="1"/>
    </xf>
    <xf numFmtId="165" fontId="46" fillId="43" borderId="40" xfId="0" applyNumberFormat="1" applyFont="1" applyFill="1" applyBorder="1" applyAlignment="1">
      <alignment horizontal="center" vertical="center" wrapText="1"/>
    </xf>
    <xf numFmtId="1" fontId="46" fillId="23" borderId="131" xfId="0" applyNumberFormat="1" applyFont="1" applyFill="1" applyBorder="1" applyAlignment="1">
      <alignment horizontal="center" vertical="center" wrapText="1"/>
    </xf>
    <xf numFmtId="165" fontId="46" fillId="43" borderId="127" xfId="0" applyNumberFormat="1" applyFont="1" applyFill="1" applyBorder="1" applyAlignment="1">
      <alignment horizontal="center" vertical="center" wrapText="1"/>
    </xf>
    <xf numFmtId="1" fontId="46" fillId="23" borderId="54" xfId="0" applyNumberFormat="1" applyFont="1" applyFill="1" applyBorder="1" applyAlignment="1">
      <alignment horizontal="center" vertical="center" wrapText="1"/>
    </xf>
    <xf numFmtId="0" fontId="15" fillId="0" borderId="133" xfId="106" applyBorder="1" applyAlignment="1">
      <alignment vertical="center"/>
    </xf>
    <xf numFmtId="0" fontId="76" fillId="29" borderId="19" xfId="71" applyFont="1" applyFill="1" applyBorder="1" applyAlignment="1" applyProtection="1">
      <alignment horizontal="center" vertical="center"/>
      <protection locked="0"/>
    </xf>
    <xf numFmtId="0" fontId="15" fillId="0" borderId="47" xfId="106" applyBorder="1" applyAlignment="1">
      <alignment horizontal="left" vertical="center" wrapText="1"/>
    </xf>
    <xf numFmtId="0" fontId="19" fillId="28" borderId="54" xfId="106" applyFont="1" applyFill="1" applyBorder="1" applyAlignment="1">
      <alignment horizontal="center" vertical="center"/>
    </xf>
    <xf numFmtId="0" fontId="15" fillId="0" borderId="27" xfId="106" applyBorder="1" applyAlignment="1">
      <alignment horizontal="left" wrapText="1"/>
    </xf>
    <xf numFmtId="0" fontId="64" fillId="0" borderId="0" xfId="1143" applyFont="1" applyAlignment="1">
      <alignment horizontal="left" vertical="center"/>
    </xf>
    <xf numFmtId="0" fontId="98" fillId="0" borderId="0" xfId="106" applyFont="1" applyAlignment="1">
      <alignment vertical="center"/>
    </xf>
    <xf numFmtId="0" fontId="60" fillId="0" borderId="10" xfId="1143" applyBorder="1" applyAlignment="1">
      <alignment horizontal="center" vertical="center"/>
    </xf>
    <xf numFmtId="0" fontId="15" fillId="29" borderId="58" xfId="106" applyFill="1" applyBorder="1" applyAlignment="1" applyProtection="1">
      <alignment horizontal="center" vertical="center"/>
      <protection locked="0"/>
    </xf>
    <xf numFmtId="0" fontId="60" fillId="0" borderId="47" xfId="1143" applyBorder="1" applyAlignment="1">
      <alignment horizontal="center" vertical="center"/>
    </xf>
    <xf numFmtId="0" fontId="0" fillId="0" borderId="0" xfId="1143" applyFont="1" applyAlignment="1">
      <alignment wrapText="1"/>
    </xf>
    <xf numFmtId="0" fontId="15" fillId="27" borderId="12" xfId="106" applyFill="1" applyBorder="1" applyAlignment="1">
      <alignment horizontal="center" vertical="center"/>
    </xf>
    <xf numFmtId="0" fontId="15" fillId="26" borderId="12" xfId="106" applyFill="1" applyBorder="1" applyAlignment="1">
      <alignment horizontal="center" vertical="center"/>
    </xf>
    <xf numFmtId="0" fontId="19" fillId="65" borderId="12" xfId="1143" applyFont="1" applyFill="1" applyBorder="1" applyAlignment="1">
      <alignment horizontal="left" vertical="center" wrapText="1"/>
    </xf>
    <xf numFmtId="0" fontId="19" fillId="65" borderId="58" xfId="1143" applyFont="1" applyFill="1" applyBorder="1" applyAlignment="1">
      <alignment horizontal="left" vertical="center" wrapText="1"/>
    </xf>
    <xf numFmtId="0" fontId="15" fillId="29" borderId="45" xfId="106" applyFill="1" applyBorder="1" applyAlignment="1">
      <alignment horizontal="center" vertical="center"/>
    </xf>
    <xf numFmtId="0" fontId="19" fillId="65" borderId="43" xfId="1143" applyFont="1" applyFill="1" applyBorder="1" applyAlignment="1">
      <alignment horizontal="left" vertical="center" wrapText="1"/>
    </xf>
    <xf numFmtId="0" fontId="15" fillId="45" borderId="78" xfId="1143" applyFont="1" applyFill="1" applyBorder="1" applyAlignment="1">
      <alignment horizontal="center" vertical="center" wrapText="1"/>
    </xf>
    <xf numFmtId="0" fontId="19" fillId="44" borderId="54" xfId="1143" applyFont="1" applyFill="1" applyBorder="1" applyAlignment="1">
      <alignment horizontal="center" vertical="center" wrapText="1"/>
    </xf>
    <xf numFmtId="0" fontId="19" fillId="65" borderId="19" xfId="1143" applyFont="1" applyFill="1" applyBorder="1" applyAlignment="1">
      <alignment horizontal="left" vertical="center" wrapText="1"/>
    </xf>
    <xf numFmtId="0" fontId="19" fillId="65" borderId="33" xfId="1143" applyFont="1" applyFill="1" applyBorder="1" applyAlignment="1">
      <alignment horizontal="left" vertical="center" wrapText="1"/>
    </xf>
    <xf numFmtId="0" fontId="15" fillId="45" borderId="46" xfId="1143" applyFont="1" applyFill="1" applyBorder="1" applyAlignment="1">
      <alignment horizontal="center" vertical="center" wrapText="1"/>
    </xf>
    <xf numFmtId="0" fontId="19" fillId="65" borderId="21" xfId="1143" applyFont="1" applyFill="1" applyBorder="1" applyAlignment="1">
      <alignment horizontal="left" vertical="center" wrapText="1"/>
    </xf>
    <xf numFmtId="0" fontId="15" fillId="45" borderId="15" xfId="1143" applyFont="1" applyFill="1" applyBorder="1" applyAlignment="1">
      <alignment horizontal="center" vertical="center" wrapText="1"/>
    </xf>
    <xf numFmtId="0" fontId="19" fillId="45" borderId="15" xfId="1143" applyFont="1" applyFill="1" applyBorder="1" applyAlignment="1">
      <alignment horizontal="center" vertical="center" wrapText="1"/>
    </xf>
    <xf numFmtId="0" fontId="19" fillId="65" borderId="13" xfId="1143" applyFont="1" applyFill="1" applyBorder="1" applyAlignment="1">
      <alignment horizontal="left" vertical="center" wrapText="1"/>
    </xf>
    <xf numFmtId="0" fontId="62" fillId="29" borderId="109" xfId="1143" applyFont="1" applyFill="1" applyBorder="1" applyAlignment="1">
      <alignment horizontal="center"/>
    </xf>
    <xf numFmtId="0" fontId="112" fillId="0" borderId="0" xfId="106" applyFont="1" applyAlignment="1">
      <alignment vertical="center"/>
    </xf>
    <xf numFmtId="0" fontId="60" fillId="0" borderId="22" xfId="1143" applyBorder="1" applyAlignment="1">
      <alignment horizontal="center" vertical="center"/>
    </xf>
    <xf numFmtId="0" fontId="19" fillId="27" borderId="58" xfId="106" applyFont="1" applyFill="1" applyBorder="1" applyAlignment="1">
      <alignment horizontal="center" vertical="center"/>
    </xf>
    <xf numFmtId="0" fontId="60" fillId="0" borderId="59" xfId="1143" applyBorder="1" applyAlignment="1">
      <alignment horizontal="center" vertical="center"/>
    </xf>
    <xf numFmtId="0" fontId="19" fillId="27" borderId="28" xfId="106" applyFont="1" applyFill="1" applyBorder="1" applyAlignment="1">
      <alignment horizontal="center" vertical="center"/>
    </xf>
    <xf numFmtId="168" fontId="93" fillId="26" borderId="28" xfId="106" applyNumberFormat="1" applyFont="1" applyFill="1" applyBorder="1" applyAlignment="1">
      <alignment horizontal="center" vertical="center" wrapText="1"/>
    </xf>
    <xf numFmtId="0" fontId="60" fillId="0" borderId="33" xfId="1143" applyBorder="1" applyAlignment="1">
      <alignment horizontal="center" vertical="center"/>
    </xf>
    <xf numFmtId="0" fontId="19" fillId="0" borderId="76" xfId="106" applyFont="1" applyBorder="1" applyAlignment="1">
      <alignment horizontal="center" vertical="center" wrapText="1"/>
    </xf>
    <xf numFmtId="0" fontId="19" fillId="26" borderId="19" xfId="106" applyFont="1" applyFill="1" applyBorder="1" applyAlignment="1">
      <alignment horizontal="center" vertical="center"/>
    </xf>
    <xf numFmtId="0" fontId="60" fillId="0" borderId="56" xfId="1143" applyBorder="1" applyAlignment="1">
      <alignment horizontal="center" vertical="center"/>
    </xf>
    <xf numFmtId="0" fontId="19" fillId="0" borderId="49" xfId="106" applyFont="1" applyBorder="1" applyAlignment="1">
      <alignment horizontal="center" vertical="center" wrapText="1"/>
    </xf>
    <xf numFmtId="0" fontId="19" fillId="28" borderId="48" xfId="106" applyFont="1" applyFill="1" applyBorder="1" applyAlignment="1">
      <alignment horizontal="center" vertical="center" wrapText="1"/>
    </xf>
    <xf numFmtId="0" fontId="19" fillId="28" borderId="38" xfId="106" applyFont="1" applyFill="1" applyBorder="1" applyAlignment="1">
      <alignment horizontal="center" vertical="center"/>
    </xf>
    <xf numFmtId="1" fontId="94" fillId="26" borderId="20" xfId="106" applyNumberFormat="1" applyFont="1" applyFill="1" applyBorder="1" applyAlignment="1">
      <alignment horizontal="center" vertical="center" wrapText="1"/>
    </xf>
    <xf numFmtId="0" fontId="19" fillId="26" borderId="44" xfId="106" applyFont="1" applyFill="1" applyBorder="1" applyAlignment="1">
      <alignment horizontal="center" vertical="center"/>
    </xf>
    <xf numFmtId="0" fontId="15" fillId="29" borderId="70" xfId="1144" applyFont="1" applyFill="1" applyBorder="1" applyAlignment="1">
      <alignment horizontal="center" vertical="center"/>
    </xf>
    <xf numFmtId="1" fontId="94" fillId="26" borderId="108" xfId="106" applyNumberFormat="1" applyFont="1" applyFill="1" applyBorder="1" applyAlignment="1">
      <alignment horizontal="center" vertical="center" wrapText="1"/>
    </xf>
    <xf numFmtId="0" fontId="49" fillId="26" borderId="124" xfId="106" applyFont="1" applyFill="1" applyBorder="1" applyAlignment="1">
      <alignment horizontal="center"/>
    </xf>
    <xf numFmtId="0" fontId="49" fillId="26" borderId="48" xfId="106" applyFont="1" applyFill="1" applyBorder="1"/>
    <xf numFmtId="0" fontId="49" fillId="26" borderId="48" xfId="106" applyFont="1" applyFill="1" applyBorder="1" applyAlignment="1">
      <alignment horizontal="center"/>
    </xf>
    <xf numFmtId="2" fontId="94" fillId="26" borderId="20" xfId="106" applyNumberFormat="1" applyFont="1" applyFill="1" applyBorder="1" applyAlignment="1">
      <alignment horizontal="center" vertical="center" wrapText="1"/>
    </xf>
    <xf numFmtId="0" fontId="19" fillId="29" borderId="40" xfId="1144" applyFont="1" applyFill="1" applyBorder="1" applyAlignment="1" applyProtection="1">
      <alignment horizontal="center" vertical="center"/>
      <protection locked="0"/>
    </xf>
    <xf numFmtId="0" fontId="65" fillId="27" borderId="40" xfId="1143" applyFont="1" applyFill="1" applyBorder="1" applyAlignment="1">
      <alignment horizontal="center" vertical="center"/>
    </xf>
    <xf numFmtId="0" fontId="59" fillId="27" borderId="54" xfId="1143" applyFont="1" applyFill="1" applyBorder="1" applyAlignment="1">
      <alignment horizontal="center" vertical="center"/>
    </xf>
    <xf numFmtId="0" fontId="65" fillId="27" borderId="38" xfId="1143" applyFont="1" applyFill="1" applyBorder="1" applyAlignment="1">
      <alignment horizontal="center" vertical="center"/>
    </xf>
    <xf numFmtId="0" fontId="51" fillId="0" borderId="16" xfId="1143" applyFont="1" applyBorder="1" applyAlignment="1">
      <alignment vertical="center"/>
    </xf>
    <xf numFmtId="0" fontId="51" fillId="0" borderId="17" xfId="1143" applyFont="1" applyBorder="1" applyAlignment="1">
      <alignment vertical="center"/>
    </xf>
    <xf numFmtId="0" fontId="59" fillId="29" borderId="58" xfId="1143" applyFont="1" applyFill="1" applyBorder="1" applyAlignment="1" applyProtection="1">
      <alignment horizontal="center" vertical="center"/>
      <protection locked="0"/>
    </xf>
    <xf numFmtId="0" fontId="65" fillId="27" borderId="91" xfId="1143" applyFont="1" applyFill="1" applyBorder="1" applyAlignment="1">
      <alignment horizontal="center" vertical="center"/>
    </xf>
    <xf numFmtId="0" fontId="65" fillId="27" borderId="34" xfId="1143" applyFont="1" applyFill="1" applyBorder="1" applyAlignment="1">
      <alignment horizontal="center" vertical="center"/>
    </xf>
    <xf numFmtId="0" fontId="59" fillId="0" borderId="58" xfId="1143" applyFont="1" applyBorder="1" applyAlignment="1">
      <alignment vertical="center" wrapText="1"/>
    </xf>
    <xf numFmtId="0" fontId="59" fillId="0" borderId="20" xfId="1143" applyFont="1" applyBorder="1" applyAlignment="1">
      <alignment horizontal="center" vertical="center"/>
    </xf>
    <xf numFmtId="0" fontId="59" fillId="0" borderId="33" xfId="1143" applyFont="1" applyBorder="1" applyAlignment="1">
      <alignment vertical="center" wrapText="1"/>
    </xf>
    <xf numFmtId="0" fontId="59" fillId="0" borderId="44" xfId="1143" applyFont="1" applyBorder="1" applyAlignment="1">
      <alignment horizontal="center" vertical="center"/>
    </xf>
    <xf numFmtId="0" fontId="59" fillId="29" borderId="33" xfId="1143" applyFont="1" applyFill="1" applyBorder="1" applyAlignment="1" applyProtection="1">
      <alignment horizontal="center" vertical="center"/>
      <protection locked="0"/>
    </xf>
    <xf numFmtId="0" fontId="59" fillId="0" borderId="43" xfId="1143" applyFont="1" applyBorder="1" applyAlignment="1">
      <alignment vertical="center"/>
    </xf>
    <xf numFmtId="0" fontId="59" fillId="0" borderId="22" xfId="1143" applyFont="1" applyBorder="1" applyAlignment="1">
      <alignment horizontal="center" vertical="center"/>
    </xf>
    <xf numFmtId="0" fontId="59" fillId="29" borderId="43" xfId="1143" applyFont="1" applyFill="1" applyBorder="1" applyAlignment="1" applyProtection="1">
      <alignment horizontal="center" vertical="center"/>
      <protection locked="0"/>
    </xf>
    <xf numFmtId="0" fontId="65" fillId="36" borderId="40" xfId="1143" applyFont="1" applyFill="1" applyBorder="1" applyAlignment="1">
      <alignment horizontal="left" vertical="center"/>
    </xf>
    <xf numFmtId="0" fontId="59" fillId="0" borderId="58" xfId="1143" applyFont="1" applyBorder="1" applyAlignment="1">
      <alignment vertical="center"/>
    </xf>
    <xf numFmtId="0" fontId="59" fillId="0" borderId="28" xfId="1143" applyFont="1" applyBorder="1" applyAlignment="1">
      <alignment vertical="center" wrapText="1"/>
    </xf>
    <xf numFmtId="0" fontId="59" fillId="29" borderId="28" xfId="1143" applyFont="1" applyFill="1" applyBorder="1" applyAlignment="1" applyProtection="1">
      <alignment horizontal="center" vertical="center"/>
      <protection locked="0"/>
    </xf>
    <xf numFmtId="0" fontId="59" fillId="0" borderId="34" xfId="1143" applyFont="1" applyBorder="1" applyAlignment="1">
      <alignment vertical="center"/>
    </xf>
    <xf numFmtId="0" fontId="59" fillId="0" borderId="12" xfId="1143" applyFont="1" applyBorder="1" applyAlignment="1">
      <alignment vertical="center"/>
    </xf>
    <xf numFmtId="0" fontId="59" fillId="0" borderId="43" xfId="1143" applyFont="1" applyBorder="1" applyAlignment="1">
      <alignment horizontal="center" vertical="center"/>
    </xf>
    <xf numFmtId="0" fontId="59" fillId="0" borderId="40" xfId="1143" applyFont="1" applyBorder="1" applyAlignment="1">
      <alignment vertical="center"/>
    </xf>
    <xf numFmtId="0" fontId="59" fillId="0" borderId="96" xfId="1143" applyFont="1" applyBorder="1" applyAlignment="1">
      <alignment horizontal="center" vertical="center"/>
    </xf>
    <xf numFmtId="0" fontId="59" fillId="0" borderId="33" xfId="1143" applyFont="1" applyBorder="1" applyAlignment="1">
      <alignment vertical="center"/>
    </xf>
    <xf numFmtId="0" fontId="59" fillId="0" borderId="43" xfId="1143" applyFont="1" applyBorder="1" applyAlignment="1">
      <alignment vertical="center" wrapText="1"/>
    </xf>
    <xf numFmtId="0" fontId="59" fillId="0" borderId="12" xfId="1143" applyFont="1" applyBorder="1" applyAlignment="1">
      <alignment vertical="center" wrapText="1"/>
    </xf>
    <xf numFmtId="0" fontId="59" fillId="0" borderId="48" xfId="1143" applyFont="1" applyBorder="1" applyAlignment="1">
      <alignment horizontal="center" vertical="center"/>
    </xf>
    <xf numFmtId="0" fontId="59" fillId="29" borderId="12" xfId="1143" applyFont="1" applyFill="1" applyBorder="1" applyAlignment="1" applyProtection="1">
      <alignment horizontal="center" vertical="center"/>
      <protection locked="0"/>
    </xf>
    <xf numFmtId="0" fontId="59" fillId="0" borderId="19" xfId="1143" applyFont="1" applyBorder="1" applyAlignment="1">
      <alignment vertical="center" wrapText="1"/>
    </xf>
    <xf numFmtId="0" fontId="59" fillId="29" borderId="19" xfId="1143" applyFont="1" applyFill="1" applyBorder="1" applyAlignment="1" applyProtection="1">
      <alignment horizontal="center" vertical="center"/>
      <protection locked="0"/>
    </xf>
    <xf numFmtId="0" fontId="62" fillId="36" borderId="48" xfId="1143" applyFont="1" applyFill="1" applyBorder="1" applyAlignment="1">
      <alignment horizontal="center" vertical="center"/>
    </xf>
    <xf numFmtId="0" fontId="62" fillId="36" borderId="54" xfId="1143" applyFont="1" applyFill="1" applyBorder="1" applyAlignment="1">
      <alignment horizontal="center" vertical="center"/>
    </xf>
    <xf numFmtId="0" fontId="59" fillId="29" borderId="20" xfId="1143" applyFont="1" applyFill="1" applyBorder="1" applyAlignment="1" applyProtection="1">
      <alignment horizontal="center" vertical="center"/>
      <protection locked="0"/>
    </xf>
    <xf numFmtId="0" fontId="59" fillId="26" borderId="28" xfId="1143" applyFont="1" applyFill="1" applyBorder="1" applyAlignment="1">
      <alignment horizontal="center" vertical="center"/>
    </xf>
    <xf numFmtId="0" fontId="59" fillId="29" borderId="44" xfId="1143" applyFont="1" applyFill="1" applyBorder="1" applyAlignment="1" applyProtection="1">
      <alignment horizontal="center" vertical="center"/>
      <protection locked="0"/>
    </xf>
    <xf numFmtId="0" fontId="59" fillId="0" borderId="28" xfId="1143" applyFont="1" applyBorder="1" applyAlignment="1">
      <alignment vertical="center"/>
    </xf>
    <xf numFmtId="0" fontId="65" fillId="26" borderId="127" xfId="1143" applyFont="1" applyFill="1" applyBorder="1" applyAlignment="1">
      <alignment vertical="center"/>
    </xf>
    <xf numFmtId="0" fontId="65" fillId="26" borderId="123" xfId="1143" applyFont="1" applyFill="1" applyBorder="1" applyAlignment="1">
      <alignment horizontal="center" vertical="center"/>
    </xf>
    <xf numFmtId="0" fontId="115" fillId="0" borderId="0" xfId="106" applyFont="1" applyAlignment="1">
      <alignment vertical="center"/>
    </xf>
    <xf numFmtId="0" fontId="19" fillId="27" borderId="91" xfId="106" applyFont="1" applyFill="1" applyBorder="1" applyAlignment="1">
      <alignment horizontal="center" vertical="center"/>
    </xf>
    <xf numFmtId="0" fontId="51" fillId="27" borderId="64" xfId="106" applyFont="1" applyFill="1" applyBorder="1" applyAlignment="1">
      <alignment horizontal="center" vertical="center" wrapText="1"/>
    </xf>
    <xf numFmtId="0" fontId="51" fillId="27" borderId="96" xfId="106" applyFont="1" applyFill="1" applyBorder="1" applyAlignment="1">
      <alignment horizontal="center" vertical="center" wrapText="1"/>
    </xf>
    <xf numFmtId="0" fontId="19" fillId="27" borderId="100" xfId="106" applyFont="1" applyFill="1" applyBorder="1" applyAlignment="1">
      <alignment horizontal="center" vertical="center"/>
    </xf>
    <xf numFmtId="0" fontId="15" fillId="29" borderId="58" xfId="106" applyFill="1" applyBorder="1" applyAlignment="1">
      <alignment horizontal="center" vertical="center"/>
    </xf>
    <xf numFmtId="0" fontId="15" fillId="29" borderId="28" xfId="106" applyFill="1" applyBorder="1" applyAlignment="1">
      <alignment horizontal="center" vertical="center"/>
    </xf>
    <xf numFmtId="10" fontId="19" fillId="26" borderId="13" xfId="106" applyNumberFormat="1" applyFont="1" applyFill="1" applyBorder="1" applyAlignment="1">
      <alignment horizontal="center" vertical="center"/>
    </xf>
    <xf numFmtId="0" fontId="92" fillId="26" borderId="12" xfId="1143" applyFont="1" applyFill="1" applyBorder="1" applyAlignment="1">
      <alignment horizontal="center" vertical="center"/>
    </xf>
    <xf numFmtId="0" fontId="92" fillId="26" borderId="13" xfId="1143" applyFont="1" applyFill="1" applyBorder="1" applyAlignment="1">
      <alignment horizontal="center" vertical="center"/>
    </xf>
    <xf numFmtId="0" fontId="15" fillId="29" borderId="21" xfId="1166" applyFont="1" applyFill="1" applyBorder="1" applyAlignment="1" applyProtection="1">
      <alignment horizontal="center" vertical="center"/>
      <protection locked="0"/>
    </xf>
    <xf numFmtId="0" fontId="15" fillId="0" borderId="32" xfId="1155" applyBorder="1" applyAlignment="1" applyProtection="1">
      <alignment horizontal="center" vertical="center"/>
      <protection locked="0"/>
    </xf>
    <xf numFmtId="0" fontId="16" fillId="0" borderId="18" xfId="1155" applyFont="1" applyBorder="1" applyAlignment="1">
      <alignment horizontal="center" vertical="center"/>
    </xf>
    <xf numFmtId="0" fontId="15" fillId="29" borderId="34" xfId="1156" applyFont="1" applyFill="1" applyBorder="1" applyAlignment="1" applyProtection="1">
      <alignment horizontal="center" vertical="center" wrapText="1"/>
      <protection locked="0"/>
    </xf>
    <xf numFmtId="0" fontId="15" fillId="29" borderId="13" xfId="1156" applyFont="1" applyFill="1" applyBorder="1" applyAlignment="1" applyProtection="1">
      <alignment horizontal="center" vertical="center" wrapText="1"/>
      <protection locked="0"/>
    </xf>
    <xf numFmtId="0" fontId="25" fillId="0" borderId="96" xfId="106" applyFont="1" applyBorder="1" applyAlignment="1">
      <alignment horizontal="left" vertical="center" wrapText="1"/>
    </xf>
    <xf numFmtId="0" fontId="25" fillId="0" borderId="95" xfId="106" applyFont="1" applyBorder="1" applyAlignment="1">
      <alignment horizontal="left" vertical="center" wrapText="1"/>
    </xf>
    <xf numFmtId="0" fontId="25" fillId="0" borderId="99" xfId="106" applyFont="1" applyBorder="1" applyAlignment="1">
      <alignment horizontal="left" vertical="center" wrapText="1"/>
    </xf>
    <xf numFmtId="0" fontId="15" fillId="0" borderId="32" xfId="106" applyBorder="1" applyAlignment="1" applyProtection="1">
      <alignment horizontal="left" vertical="top" wrapText="1"/>
      <protection locked="0"/>
    </xf>
    <xf numFmtId="0" fontId="15" fillId="0" borderId="42" xfId="106" applyBorder="1" applyAlignment="1" applyProtection="1">
      <alignment horizontal="left" vertical="top" wrapText="1"/>
      <protection locked="0"/>
    </xf>
    <xf numFmtId="0" fontId="15" fillId="0" borderId="127" xfId="106" applyBorder="1" applyAlignment="1">
      <alignment horizontal="left" vertical="center" wrapText="1"/>
    </xf>
    <xf numFmtId="0" fontId="15" fillId="0" borderId="124" xfId="106" applyBorder="1" applyAlignment="1">
      <alignment horizontal="left" vertical="center" wrapText="1"/>
    </xf>
    <xf numFmtId="0" fontId="19" fillId="0" borderId="127" xfId="106" applyFont="1" applyBorder="1" applyAlignment="1">
      <alignment horizontal="left" vertical="center" wrapText="1"/>
    </xf>
    <xf numFmtId="0" fontId="19" fillId="0" borderId="124" xfId="106" applyFont="1" applyBorder="1" applyAlignment="1">
      <alignment horizontal="left" vertical="center" wrapText="1"/>
    </xf>
    <xf numFmtId="0" fontId="15" fillId="0" borderId="36" xfId="106" applyBorder="1" applyAlignment="1">
      <alignment horizontal="left" vertical="center" wrapText="1"/>
    </xf>
    <xf numFmtId="0" fontId="15" fillId="0" borderId="89" xfId="106" applyBorder="1" applyAlignment="1">
      <alignment horizontal="left" vertical="center" wrapText="1"/>
    </xf>
    <xf numFmtId="0" fontId="28" fillId="26" borderId="40" xfId="106" applyFont="1" applyFill="1" applyBorder="1" applyAlignment="1">
      <alignment horizontal="left" vertical="center" wrapText="1"/>
    </xf>
    <xf numFmtId="0" fontId="28" fillId="26" borderId="48" xfId="106" applyFont="1" applyFill="1" applyBorder="1" applyAlignment="1">
      <alignment horizontal="left" vertical="center" wrapText="1"/>
    </xf>
    <xf numFmtId="0" fontId="28" fillId="26" borderId="54" xfId="106" applyFont="1" applyFill="1" applyBorder="1" applyAlignment="1">
      <alignment horizontal="left" vertical="center" wrapText="1"/>
    </xf>
    <xf numFmtId="0" fontId="28" fillId="26" borderId="100" xfId="106" applyFont="1" applyFill="1" applyBorder="1" applyAlignment="1">
      <alignment vertical="center" wrapText="1"/>
    </xf>
    <xf numFmtId="0" fontId="28" fillId="26" borderId="108" xfId="106" applyFont="1" applyFill="1" applyBorder="1" applyAlignment="1">
      <alignment vertical="center" wrapText="1"/>
    </xf>
    <xf numFmtId="0" fontId="20" fillId="27" borderId="123" xfId="106" applyFont="1" applyFill="1" applyBorder="1" applyAlignment="1">
      <alignment horizontal="center" vertical="center" wrapText="1"/>
    </xf>
    <xf numFmtId="0" fontId="20" fillId="27" borderId="48" xfId="106" applyFont="1" applyFill="1" applyBorder="1" applyAlignment="1">
      <alignment horizontal="center" vertical="center" wrapText="1"/>
    </xf>
    <xf numFmtId="0" fontId="20" fillId="27" borderId="122" xfId="106" applyFont="1" applyFill="1" applyBorder="1" applyAlignment="1">
      <alignment horizontal="center" vertical="center" wrapText="1"/>
    </xf>
    <xf numFmtId="0" fontId="15" fillId="0" borderId="104" xfId="106" applyBorder="1" applyAlignment="1">
      <alignment horizontal="left" vertical="center" wrapText="1"/>
    </xf>
    <xf numFmtId="0" fontId="15" fillId="0" borderId="124" xfId="1164" applyBorder="1" applyAlignment="1">
      <alignment horizontal="left" vertical="center" wrapText="1"/>
    </xf>
    <xf numFmtId="0" fontId="20" fillId="0" borderId="16" xfId="1164" applyFont="1" applyBorder="1" applyAlignment="1">
      <alignment horizontal="left" vertical="center" wrapText="1"/>
    </xf>
    <xf numFmtId="0" fontId="20" fillId="0" borderId="24" xfId="1164" applyFont="1" applyBorder="1" applyAlignment="1">
      <alignment horizontal="left" vertical="center" wrapText="1"/>
    </xf>
    <xf numFmtId="0" fontId="15" fillId="0" borderId="71" xfId="1164" applyBorder="1" applyAlignment="1">
      <alignment horizontal="left" vertical="center" wrapText="1"/>
    </xf>
    <xf numFmtId="0" fontId="15" fillId="0" borderId="39" xfId="1164" applyBorder="1" applyAlignment="1">
      <alignment horizontal="left" vertical="center" wrapText="1"/>
    </xf>
    <xf numFmtId="0" fontId="27" fillId="0" borderId="90" xfId="106" applyFont="1" applyBorder="1" applyAlignment="1">
      <alignment horizontal="left" vertical="center" wrapText="1"/>
    </xf>
    <xf numFmtId="0" fontId="27" fillId="0" borderId="41" xfId="106" applyFont="1" applyBorder="1" applyAlignment="1">
      <alignment horizontal="left" vertical="center" wrapText="1"/>
    </xf>
    <xf numFmtId="0" fontId="20" fillId="0" borderId="91" xfId="106" applyFont="1" applyBorder="1" applyAlignment="1">
      <alignment horizontal="left" vertical="center" wrapText="1"/>
    </xf>
    <xf numFmtId="0" fontId="20" fillId="0" borderId="27" xfId="106" applyFont="1" applyBorder="1" applyAlignment="1">
      <alignment horizontal="left" vertical="center" wrapText="1"/>
    </xf>
    <xf numFmtId="0" fontId="20" fillId="0" borderId="100" xfId="106" applyFont="1" applyBorder="1" applyAlignment="1">
      <alignment horizontal="left" vertical="center" wrapText="1"/>
    </xf>
    <xf numFmtId="0" fontId="15" fillId="0" borderId="16" xfId="106" applyBorder="1" applyAlignment="1">
      <alignment horizontal="left" vertical="center" wrapText="1"/>
    </xf>
    <xf numFmtId="0" fontId="15" fillId="0" borderId="71" xfId="106" applyBorder="1" applyAlignment="1">
      <alignment horizontal="left" vertical="center" wrapText="1"/>
    </xf>
    <xf numFmtId="0" fontId="15" fillId="0" borderId="17" xfId="106" applyBorder="1" applyAlignment="1">
      <alignment horizontal="left" vertical="center" wrapText="1"/>
    </xf>
    <xf numFmtId="0" fontId="15" fillId="0" borderId="24" xfId="106" applyBorder="1" applyAlignment="1">
      <alignment horizontal="left" vertical="center" wrapText="1"/>
    </xf>
    <xf numFmtId="0" fontId="15" fillId="0" borderId="39" xfId="106" applyBorder="1" applyAlignment="1">
      <alignment horizontal="left" vertical="center" wrapText="1"/>
    </xf>
    <xf numFmtId="0" fontId="15" fillId="0" borderId="31" xfId="106" applyBorder="1" applyAlignment="1">
      <alignment horizontal="left" vertical="center" wrapText="1"/>
    </xf>
    <xf numFmtId="0" fontId="15" fillId="0" borderId="35" xfId="106" applyBorder="1" applyAlignment="1">
      <alignment horizontal="center" vertical="center" wrapText="1"/>
    </xf>
    <xf numFmtId="0" fontId="15" fillId="0" borderId="92" xfId="106" applyBorder="1" applyAlignment="1">
      <alignment horizontal="center" vertical="center" wrapText="1"/>
    </xf>
    <xf numFmtId="0" fontId="15" fillId="0" borderId="37" xfId="106" applyBorder="1" applyAlignment="1">
      <alignment horizontal="center" vertical="center" wrapText="1"/>
    </xf>
    <xf numFmtId="0" fontId="15" fillId="0" borderId="109" xfId="106" applyBorder="1" applyAlignment="1">
      <alignment horizontal="center" vertical="center" wrapText="1"/>
    </xf>
    <xf numFmtId="0" fontId="27" fillId="0" borderId="64" xfId="106" applyFont="1" applyBorder="1" applyAlignment="1">
      <alignment horizontal="left" vertical="center" wrapText="1"/>
    </xf>
    <xf numFmtId="0" fontId="27" fillId="0" borderId="65" xfId="106" applyFont="1" applyBorder="1" applyAlignment="1">
      <alignment horizontal="left" vertical="center" wrapText="1"/>
    </xf>
    <xf numFmtId="0" fontId="27" fillId="0" borderId="59" xfId="106" applyFont="1" applyBorder="1" applyAlignment="1">
      <alignment horizontal="left" vertical="center" wrapText="1"/>
    </xf>
    <xf numFmtId="0" fontId="15" fillId="0" borderId="18" xfId="106" applyBorder="1" applyAlignment="1">
      <alignment horizontal="left" vertical="center" wrapText="1"/>
    </xf>
    <xf numFmtId="0" fontId="15" fillId="0" borderId="10" xfId="106" applyBorder="1" applyAlignment="1">
      <alignment horizontal="left" vertical="center" wrapText="1"/>
    </xf>
    <xf numFmtId="0" fontId="15" fillId="0" borderId="11" xfId="106" applyBorder="1" applyAlignment="1">
      <alignment horizontal="left" vertical="center" wrapText="1"/>
    </xf>
    <xf numFmtId="0" fontId="25" fillId="0" borderId="24" xfId="106" applyFont="1" applyBorder="1" applyAlignment="1">
      <alignment horizontal="left" vertical="center" wrapText="1"/>
    </xf>
    <xf numFmtId="0" fontId="25" fillId="0" borderId="39" xfId="106" applyFont="1" applyBorder="1" applyAlignment="1">
      <alignment horizontal="left" vertical="center" wrapText="1"/>
    </xf>
    <xf numFmtId="0" fontId="25" fillId="0" borderId="40" xfId="106" applyFont="1" applyBorder="1" applyAlignment="1">
      <alignment horizontal="left" vertical="center" wrapText="1"/>
    </xf>
    <xf numFmtId="0" fontId="25" fillId="0" borderId="48" xfId="106" applyFont="1" applyBorder="1" applyAlignment="1">
      <alignment horizontal="left" vertical="center" wrapText="1"/>
    </xf>
    <xf numFmtId="0" fontId="25" fillId="0" borderId="122" xfId="106" applyFont="1" applyBorder="1" applyAlignment="1">
      <alignment horizontal="left" vertical="center" wrapText="1"/>
    </xf>
    <xf numFmtId="0" fontId="20" fillId="0" borderId="64" xfId="1164" applyFont="1" applyBorder="1" applyAlignment="1">
      <alignment horizontal="left" vertical="center" wrapText="1"/>
    </xf>
    <xf numFmtId="0" fontId="20" fillId="0" borderId="96" xfId="1164" applyFont="1" applyBorder="1" applyAlignment="1">
      <alignment horizontal="left" vertical="center" wrapText="1"/>
    </xf>
    <xf numFmtId="0" fontId="15" fillId="0" borderId="16" xfId="1164" applyBorder="1" applyAlignment="1">
      <alignment vertical="center" wrapText="1"/>
    </xf>
    <xf numFmtId="0" fontId="19" fillId="0" borderId="71" xfId="1164" applyFont="1" applyBorder="1" applyAlignment="1">
      <alignment vertical="center" wrapText="1"/>
    </xf>
    <xf numFmtId="0" fontId="19" fillId="0" borderId="24" xfId="1164" applyFont="1" applyBorder="1" applyAlignment="1">
      <alignment vertical="center" wrapText="1"/>
    </xf>
    <xf numFmtId="0" fontId="19" fillId="0" borderId="39" xfId="1164" applyFont="1" applyBorder="1" applyAlignment="1">
      <alignment vertical="center" wrapText="1"/>
    </xf>
    <xf numFmtId="0" fontId="15" fillId="0" borderId="17" xfId="1162" applyBorder="1" applyAlignment="1">
      <alignment horizontal="center" vertical="center" wrapText="1"/>
    </xf>
    <xf numFmtId="0" fontId="15" fillId="0" borderId="31" xfId="1162" applyBorder="1" applyAlignment="1">
      <alignment horizontal="center" vertical="center" wrapText="1"/>
    </xf>
    <xf numFmtId="0" fontId="15" fillId="29" borderId="34" xfId="1165" applyFont="1" applyFill="1" applyBorder="1" applyAlignment="1" applyProtection="1">
      <alignment horizontal="center" vertical="center" wrapText="1"/>
      <protection locked="0"/>
    </xf>
    <xf numFmtId="0" fontId="15" fillId="29" borderId="13" xfId="1165" applyFont="1" applyFill="1" applyBorder="1" applyAlignment="1" applyProtection="1">
      <alignment horizontal="center" vertical="center" wrapText="1"/>
      <protection locked="0"/>
    </xf>
    <xf numFmtId="0" fontId="60" fillId="0" borderId="27" xfId="1143" applyBorder="1" applyAlignment="1">
      <alignment horizontal="left" vertical="center" wrapText="1"/>
    </xf>
    <xf numFmtId="0" fontId="60" fillId="0" borderId="76" xfId="1143" applyBorder="1" applyAlignment="1">
      <alignment horizontal="left" vertical="center" wrapText="1"/>
    </xf>
    <xf numFmtId="0" fontId="27" fillId="0" borderId="110" xfId="106" applyFont="1" applyBorder="1" applyAlignment="1">
      <alignment horizontal="left" vertical="center" wrapText="1"/>
    </xf>
    <xf numFmtId="0" fontId="25" fillId="0" borderId="104" xfId="106" applyFont="1" applyBorder="1" applyAlignment="1">
      <alignment horizontal="left" vertical="center" wrapText="1"/>
    </xf>
    <xf numFmtId="0" fontId="15" fillId="0" borderId="119" xfId="106" applyBorder="1" applyAlignment="1">
      <alignment horizontal="center" vertical="center" wrapText="1"/>
    </xf>
    <xf numFmtId="0" fontId="15" fillId="0" borderId="77" xfId="106" applyBorder="1" applyAlignment="1">
      <alignment horizontal="center" vertical="center" wrapText="1"/>
    </xf>
    <xf numFmtId="0" fontId="15" fillId="0" borderId="132" xfId="106" applyBorder="1" applyAlignment="1">
      <alignment horizontal="center" vertical="center" wrapText="1"/>
    </xf>
    <xf numFmtId="0" fontId="15" fillId="29" borderId="21" xfId="1156" applyFont="1" applyFill="1" applyBorder="1" applyAlignment="1" applyProtection="1">
      <alignment horizontal="center" vertical="center" wrapText="1"/>
      <protection locked="0"/>
    </xf>
    <xf numFmtId="0" fontId="25" fillId="69" borderId="94" xfId="106" applyFont="1" applyFill="1" applyBorder="1" applyAlignment="1">
      <alignment horizontal="left" vertical="center" wrapText="1"/>
    </xf>
    <xf numFmtId="0" fontId="25" fillId="69" borderId="44" xfId="106" applyFont="1" applyFill="1" applyBorder="1" applyAlignment="1">
      <alignment horizontal="left" vertical="center" wrapText="1"/>
    </xf>
    <xf numFmtId="0" fontId="25" fillId="69" borderId="47" xfId="106" applyFont="1" applyFill="1" applyBorder="1" applyAlignment="1">
      <alignment horizontal="left" vertical="center" wrapText="1"/>
    </xf>
    <xf numFmtId="0" fontId="27" fillId="0" borderId="16" xfId="106" applyFont="1" applyBorder="1" applyAlignment="1">
      <alignment horizontal="left" vertical="center" wrapText="1"/>
    </xf>
    <xf numFmtId="0" fontId="25" fillId="0" borderId="71" xfId="106" applyFont="1" applyBorder="1" applyAlignment="1">
      <alignment horizontal="left" vertical="center"/>
    </xf>
    <xf numFmtId="0" fontId="20" fillId="0" borderId="64" xfId="106" applyFont="1" applyBorder="1" applyAlignment="1">
      <alignment horizontal="left" vertical="center" wrapText="1"/>
    </xf>
    <xf numFmtId="0" fontId="20" fillId="0" borderId="96" xfId="106" applyFont="1" applyBorder="1" applyAlignment="1">
      <alignment horizontal="left" vertical="center" wrapText="1"/>
    </xf>
    <xf numFmtId="0" fontId="25" fillId="0" borderId="16" xfId="1164" applyFont="1" applyBorder="1" applyAlignment="1">
      <alignment horizontal="left" vertical="center" wrapText="1"/>
    </xf>
    <xf numFmtId="0" fontId="25" fillId="0" borderId="71" xfId="1164" applyFont="1" applyBorder="1" applyAlignment="1">
      <alignment horizontal="left" vertical="center" wrapText="1"/>
    </xf>
    <xf numFmtId="0" fontId="25" fillId="0" borderId="24" xfId="1164" applyFont="1" applyBorder="1" applyAlignment="1">
      <alignment horizontal="left" vertical="center" wrapText="1"/>
    </xf>
    <xf numFmtId="0" fontId="25" fillId="0" borderId="39" xfId="1164" applyFont="1" applyBorder="1" applyAlignment="1">
      <alignment horizontal="left" vertical="center" wrapText="1"/>
    </xf>
    <xf numFmtId="0" fontId="15" fillId="0" borderId="17" xfId="1164" applyBorder="1" applyAlignment="1">
      <alignment horizontal="center" vertical="center" wrapText="1"/>
    </xf>
    <xf numFmtId="0" fontId="15" fillId="0" borderId="31" xfId="1164" applyBorder="1" applyAlignment="1">
      <alignment horizontal="center" vertical="center" wrapText="1"/>
    </xf>
    <xf numFmtId="0" fontId="20" fillId="0" borderId="94" xfId="106" applyFont="1" applyBorder="1" applyAlignment="1">
      <alignment horizontal="left" vertical="center" wrapText="1"/>
    </xf>
    <xf numFmtId="0" fontId="27" fillId="0" borderId="71" xfId="106" applyFont="1" applyBorder="1" applyAlignment="1">
      <alignment horizontal="left" vertical="center" wrapText="1"/>
    </xf>
    <xf numFmtId="0" fontId="15" fillId="0" borderId="72" xfId="106" applyBorder="1" applyAlignment="1">
      <alignment horizontal="center" vertical="center" wrapText="1"/>
    </xf>
    <xf numFmtId="0" fontId="15" fillId="0" borderId="23" xfId="106" applyBorder="1" applyAlignment="1">
      <alignment horizontal="center" vertical="center" wrapText="1"/>
    </xf>
    <xf numFmtId="0" fontId="15" fillId="0" borderId="25" xfId="106" applyBorder="1" applyAlignment="1">
      <alignment horizontal="center" vertical="center" wrapText="1"/>
    </xf>
    <xf numFmtId="0" fontId="60" fillId="0" borderId="21" xfId="1143" applyBorder="1" applyAlignment="1">
      <alignment horizontal="center" vertical="center" wrapText="1"/>
    </xf>
    <xf numFmtId="0" fontId="60" fillId="0" borderId="13" xfId="1143" applyBorder="1" applyAlignment="1">
      <alignment horizontal="center" vertical="center" wrapText="1"/>
    </xf>
    <xf numFmtId="0" fontId="25" fillId="69" borderId="18" xfId="106" applyFont="1" applyFill="1" applyBorder="1" applyAlignment="1">
      <alignment horizontal="left" vertical="center" wrapText="1"/>
    </xf>
    <xf numFmtId="0" fontId="25" fillId="69" borderId="10" xfId="106" applyFont="1" applyFill="1" applyBorder="1" applyAlignment="1">
      <alignment horizontal="left" vertical="center" wrapText="1"/>
    </xf>
    <xf numFmtId="0" fontId="25" fillId="0" borderId="18" xfId="106" applyFont="1" applyBorder="1" applyAlignment="1">
      <alignment horizontal="left" vertical="center" wrapText="1"/>
    </xf>
    <xf numFmtId="0" fontId="25" fillId="0" borderId="10" xfId="106" applyFont="1" applyBorder="1" applyAlignment="1">
      <alignment horizontal="left" vertical="center" wrapText="1"/>
    </xf>
    <xf numFmtId="0" fontId="15" fillId="0" borderId="24" xfId="1164" applyBorder="1" applyAlignment="1">
      <alignment horizontal="left" vertical="center" wrapText="1"/>
    </xf>
    <xf numFmtId="0" fontId="25" fillId="0" borderId="94" xfId="106" applyFont="1" applyBorder="1" applyAlignment="1">
      <alignment horizontal="left" vertical="center" wrapText="1"/>
    </xf>
    <xf numFmtId="0" fontId="25" fillId="0" borderId="44" xfId="106" applyFont="1" applyBorder="1" applyAlignment="1">
      <alignment horizontal="left" vertical="center" wrapText="1"/>
    </xf>
    <xf numFmtId="0" fontId="25" fillId="0" borderId="47" xfId="106" applyFont="1" applyBorder="1" applyAlignment="1">
      <alignment horizontal="left" vertical="center" wrapText="1"/>
    </xf>
    <xf numFmtId="0" fontId="20" fillId="27" borderId="91" xfId="106" applyFont="1" applyFill="1" applyBorder="1" applyAlignment="1">
      <alignment horizontal="center" vertical="center" wrapText="1"/>
    </xf>
    <xf numFmtId="0" fontId="20" fillId="27" borderId="38" xfId="106" applyFont="1" applyFill="1" applyBorder="1" applyAlignment="1">
      <alignment horizontal="center" vertical="center" wrapText="1"/>
    </xf>
    <xf numFmtId="0" fontId="20" fillId="27" borderId="92" xfId="106" applyFont="1" applyFill="1" applyBorder="1" applyAlignment="1">
      <alignment horizontal="center" vertical="center" wrapText="1"/>
    </xf>
    <xf numFmtId="0" fontId="20" fillId="0" borderId="0" xfId="106" applyFont="1" applyAlignment="1">
      <alignment horizontal="left" vertical="center"/>
    </xf>
    <xf numFmtId="0" fontId="20" fillId="27" borderId="35" xfId="106" applyFont="1" applyFill="1" applyBorder="1" applyAlignment="1">
      <alignment horizontal="center" vertical="center" wrapText="1"/>
    </xf>
    <xf numFmtId="0" fontId="20" fillId="36" borderId="40" xfId="106" applyFont="1" applyFill="1" applyBorder="1" applyAlignment="1">
      <alignment horizontal="left" vertical="center" wrapText="1"/>
    </xf>
    <xf numFmtId="0" fontId="20" fillId="36" borderId="48" xfId="106" applyFont="1" applyFill="1" applyBorder="1" applyAlignment="1">
      <alignment horizontal="left" vertical="center" wrapText="1"/>
    </xf>
    <xf numFmtId="0" fontId="20" fillId="36" borderId="54" xfId="106" applyFont="1" applyFill="1" applyBorder="1" applyAlignment="1">
      <alignment horizontal="left" vertical="center" wrapText="1"/>
    </xf>
    <xf numFmtId="0" fontId="15" fillId="0" borderId="10" xfId="106" applyBorder="1" applyAlignment="1" applyProtection="1">
      <alignment horizontal="center" vertical="center"/>
      <protection locked="0"/>
    </xf>
    <xf numFmtId="0" fontId="15" fillId="0" borderId="10" xfId="1162" applyBorder="1" applyAlignment="1" applyProtection="1">
      <alignment horizontal="center" vertical="center"/>
      <protection locked="0"/>
    </xf>
    <xf numFmtId="0" fontId="15" fillId="0" borderId="130" xfId="106" applyBorder="1" applyAlignment="1">
      <alignment horizontal="center" vertical="center" wrapText="1"/>
    </xf>
    <xf numFmtId="0" fontId="15" fillId="0" borderId="108" xfId="106" applyBorder="1" applyAlignment="1">
      <alignment horizontal="center" vertical="center" wrapText="1"/>
    </xf>
    <xf numFmtId="0" fontId="19" fillId="36" borderId="124" xfId="106" applyFont="1" applyFill="1" applyBorder="1" applyAlignment="1">
      <alignment horizontal="center" vertical="center" wrapText="1"/>
    </xf>
    <xf numFmtId="0" fontId="15" fillId="0" borderId="56" xfId="106" applyBorder="1" applyAlignment="1">
      <alignment horizontal="center" vertical="center" wrapText="1"/>
    </xf>
    <xf numFmtId="0" fontId="15" fillId="0" borderId="42" xfId="106" applyBorder="1" applyAlignment="1">
      <alignment horizontal="center" vertical="center" wrapText="1"/>
    </xf>
    <xf numFmtId="0" fontId="15" fillId="0" borderId="10" xfId="106" applyBorder="1" applyAlignment="1">
      <alignment horizontal="center" vertical="center" wrapText="1"/>
    </xf>
    <xf numFmtId="0" fontId="15" fillId="0" borderId="39" xfId="106" applyBorder="1" applyAlignment="1">
      <alignment horizontal="center" vertical="center" wrapText="1"/>
    </xf>
    <xf numFmtId="0" fontId="15" fillId="0" borderId="42" xfId="106" applyBorder="1" applyAlignment="1">
      <alignment horizontal="center" vertical="center"/>
    </xf>
    <xf numFmtId="0" fontId="15" fillId="0" borderId="10" xfId="106" applyBorder="1" applyAlignment="1">
      <alignment horizontal="center" vertical="center"/>
    </xf>
    <xf numFmtId="0" fontId="15" fillId="0" borderId="39" xfId="106" applyBorder="1" applyAlignment="1">
      <alignment horizontal="center" vertical="center"/>
    </xf>
    <xf numFmtId="0" fontId="15" fillId="0" borderId="51" xfId="106" applyBorder="1" applyAlignment="1">
      <alignment horizontal="center" vertical="center"/>
    </xf>
    <xf numFmtId="0" fontId="15" fillId="0" borderId="23" xfId="106" applyBorder="1" applyAlignment="1">
      <alignment horizontal="center" vertical="center"/>
    </xf>
    <xf numFmtId="0" fontId="15" fillId="0" borderId="25" xfId="106" applyBorder="1" applyAlignment="1">
      <alignment horizontal="center" vertical="center"/>
    </xf>
    <xf numFmtId="0" fontId="15" fillId="29" borderId="43" xfId="1162" applyFill="1" applyBorder="1" applyAlignment="1" applyProtection="1">
      <alignment horizontal="center" vertical="center"/>
      <protection locked="0"/>
    </xf>
    <xf numFmtId="0" fontId="0" fillId="0" borderId="21" xfId="0" applyBorder="1" applyAlignment="1">
      <alignment horizontal="center" vertical="center"/>
    </xf>
    <xf numFmtId="0" fontId="0" fillId="0" borderId="19" xfId="0" applyBorder="1" applyAlignment="1">
      <alignment horizontal="center" vertical="center"/>
    </xf>
    <xf numFmtId="0" fontId="60" fillId="0" borderId="90" xfId="1162" applyFont="1" applyBorder="1" applyAlignment="1">
      <alignment horizontal="left" vertical="center" wrapText="1"/>
    </xf>
    <xf numFmtId="0" fontId="15" fillId="0" borderId="36" xfId="1162" applyBorder="1" applyAlignment="1">
      <alignment horizontal="left" vertical="center"/>
    </xf>
    <xf numFmtId="0" fontId="15" fillId="0" borderId="10" xfId="1162" applyBorder="1" applyAlignment="1" applyProtection="1">
      <alignment horizontal="center" vertical="center" wrapText="1"/>
      <protection locked="0"/>
    </xf>
    <xf numFmtId="0" fontId="15" fillId="0" borderId="89" xfId="106" applyBorder="1" applyAlignment="1">
      <alignment horizontal="center" vertical="center" wrapText="1"/>
    </xf>
    <xf numFmtId="0" fontId="15" fillId="0" borderId="41" xfId="106" applyBorder="1" applyAlignment="1" applyProtection="1">
      <alignment horizontal="center" vertical="center" wrapText="1"/>
      <protection locked="0"/>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6" fillId="39" borderId="12" xfId="0" applyFont="1" applyFill="1" applyBorder="1" applyAlignment="1">
      <alignment horizontal="left" vertical="center" wrapText="1"/>
    </xf>
    <xf numFmtId="0" fontId="46" fillId="35" borderId="12" xfId="0" applyFont="1" applyFill="1" applyBorder="1" applyAlignment="1">
      <alignment horizontal="left" vertical="center" wrapText="1"/>
    </xf>
    <xf numFmtId="0" fontId="89" fillId="0" borderId="0" xfId="0" applyFont="1" applyAlignment="1">
      <alignment horizontal="left" wrapText="1"/>
    </xf>
    <xf numFmtId="0" fontId="24" fillId="0" borderId="0" xfId="0" applyFont="1" applyAlignment="1">
      <alignment horizontal="left" wrapText="1"/>
    </xf>
    <xf numFmtId="0" fontId="51" fillId="0" borderId="30" xfId="0" applyFont="1" applyBorder="1" applyAlignment="1">
      <alignment horizontal="left" vertical="center" wrapText="1"/>
    </xf>
    <xf numFmtId="0" fontId="51" fillId="0" borderId="70" xfId="0" applyFont="1" applyBorder="1" applyAlignment="1">
      <alignment horizontal="left" vertical="center"/>
    </xf>
    <xf numFmtId="0" fontId="51" fillId="0" borderId="53" xfId="0" applyFont="1" applyBorder="1" applyAlignment="1">
      <alignment horizontal="left" vertical="center"/>
    </xf>
    <xf numFmtId="0" fontId="51" fillId="0" borderId="55" xfId="0" applyFont="1" applyBorder="1" applyAlignment="1">
      <alignment horizontal="left" vertical="center"/>
    </xf>
    <xf numFmtId="0" fontId="51" fillId="0" borderId="75" xfId="0" applyFont="1" applyBorder="1" applyAlignment="1">
      <alignment horizontal="left" vertical="center"/>
    </xf>
    <xf numFmtId="0" fontId="51" fillId="0" borderId="56" xfId="0" applyFont="1" applyBorder="1" applyAlignment="1">
      <alignment horizontal="left" vertical="center"/>
    </xf>
    <xf numFmtId="164" fontId="19" fillId="0" borderId="75" xfId="0" applyNumberFormat="1" applyFont="1" applyBorder="1" applyAlignment="1">
      <alignment horizontal="center" vertical="center"/>
    </xf>
    <xf numFmtId="0" fontId="0" fillId="0" borderId="56" xfId="0" applyBorder="1" applyAlignment="1">
      <alignment horizontal="center" vertical="center"/>
    </xf>
    <xf numFmtId="164" fontId="19" fillId="0" borderId="37" xfId="0" applyNumberFormat="1" applyFont="1" applyBorder="1" applyAlignment="1">
      <alignment horizontal="center" vertical="center"/>
    </xf>
    <xf numFmtId="0" fontId="0" fillId="0" borderId="106" xfId="0" applyBorder="1" applyAlignment="1">
      <alignment horizontal="center" vertical="center"/>
    </xf>
    <xf numFmtId="164" fontId="19" fillId="0" borderId="123" xfId="0" applyNumberFormat="1" applyFont="1" applyBorder="1" applyAlignment="1">
      <alignment horizontal="center" vertical="center"/>
    </xf>
    <xf numFmtId="0" fontId="0" fillId="0" borderId="122" xfId="0" applyBorder="1" applyAlignment="1">
      <alignment horizontal="center" vertical="center"/>
    </xf>
    <xf numFmtId="0" fontId="20" fillId="30" borderId="40" xfId="0" applyFont="1" applyFill="1" applyBorder="1" applyAlignment="1">
      <alignment horizontal="center" vertical="center"/>
    </xf>
    <xf numFmtId="0" fontId="0" fillId="0" borderId="48" xfId="0" applyBorder="1" applyAlignment="1">
      <alignment vertical="center"/>
    </xf>
    <xf numFmtId="0" fontId="0" fillId="0" borderId="54" xfId="0" applyBorder="1" applyAlignment="1">
      <alignment vertical="center"/>
    </xf>
    <xf numFmtId="0" fontId="46" fillId="32" borderId="64" xfId="0" applyFont="1" applyFill="1" applyBorder="1" applyAlignment="1">
      <alignment horizontal="center" vertical="center"/>
    </xf>
    <xf numFmtId="0" fontId="0" fillId="0" borderId="65" xfId="0" applyBorder="1" applyAlignment="1">
      <alignment vertical="center"/>
    </xf>
    <xf numFmtId="0" fontId="0" fillId="0" borderId="80" xfId="0" applyBorder="1" applyAlignment="1">
      <alignment vertical="center"/>
    </xf>
    <xf numFmtId="164" fontId="19" fillId="0" borderId="31" xfId="0" applyNumberFormat="1" applyFont="1" applyBorder="1" applyAlignment="1">
      <alignment horizontal="center" vertical="center"/>
    </xf>
    <xf numFmtId="164" fontId="19" fillId="0" borderId="99" xfId="0" applyNumberFormat="1" applyFont="1" applyBorder="1" applyAlignment="1">
      <alignment horizontal="center" vertical="center"/>
    </xf>
    <xf numFmtId="164" fontId="46" fillId="31" borderId="35" xfId="0" applyNumberFormat="1" applyFont="1" applyFill="1" applyBorder="1" applyAlignment="1">
      <alignment horizontal="center" vertical="center"/>
    </xf>
    <xf numFmtId="0" fontId="0" fillId="0" borderId="105" xfId="0" applyBorder="1" applyAlignment="1">
      <alignment horizontal="center" vertical="center"/>
    </xf>
    <xf numFmtId="164" fontId="19" fillId="36" borderId="11" xfId="0" applyNumberFormat="1" applyFont="1" applyFill="1" applyBorder="1" applyAlignment="1">
      <alignment horizontal="center" vertical="center"/>
    </xf>
    <xf numFmtId="164" fontId="19" fillId="36" borderId="47" xfId="0" applyNumberFormat="1" applyFont="1" applyFill="1" applyBorder="1" applyAlignment="1">
      <alignment horizontal="center" vertical="center"/>
    </xf>
    <xf numFmtId="164" fontId="19" fillId="36" borderId="31" xfId="0" applyNumberFormat="1" applyFont="1" applyFill="1" applyBorder="1" applyAlignment="1">
      <alignment horizontal="center" vertical="center"/>
    </xf>
    <xf numFmtId="164" fontId="19" fillId="36" borderId="99" xfId="0" applyNumberFormat="1" applyFont="1" applyFill="1" applyBorder="1" applyAlignment="1">
      <alignment horizontal="center" vertical="center"/>
    </xf>
    <xf numFmtId="0" fontId="24" fillId="0" borderId="0" xfId="0" applyFont="1" applyAlignment="1">
      <alignment horizontal="left" vertical="center" wrapText="1"/>
    </xf>
    <xf numFmtId="1" fontId="20" fillId="37" borderId="97" xfId="0" applyNumberFormat="1" applyFont="1" applyFill="1" applyBorder="1" applyAlignment="1">
      <alignment horizontal="center" vertical="center" wrapText="1"/>
    </xf>
    <xf numFmtId="1" fontId="20" fillId="37" borderId="93" xfId="0" applyNumberFormat="1" applyFont="1" applyFill="1" applyBorder="1" applyAlignment="1">
      <alignment horizontal="center" vertical="center" wrapText="1"/>
    </xf>
    <xf numFmtId="0" fontId="15" fillId="37" borderId="93" xfId="0" applyFont="1" applyFill="1" applyBorder="1" applyAlignment="1">
      <alignment horizontal="center" vertical="center" wrapText="1"/>
    </xf>
    <xf numFmtId="0" fontId="23" fillId="27" borderId="40" xfId="0" applyFont="1" applyFill="1" applyBorder="1" applyAlignment="1">
      <alignment horizontal="center" vertical="center" wrapText="1"/>
    </xf>
    <xf numFmtId="0" fontId="23" fillId="27" borderId="48" xfId="0" applyFont="1" applyFill="1" applyBorder="1" applyAlignment="1">
      <alignment horizontal="center" vertical="center" wrapText="1"/>
    </xf>
    <xf numFmtId="0" fontId="23" fillId="27" borderId="54" xfId="0" applyFont="1" applyFill="1" applyBorder="1" applyAlignment="1">
      <alignment horizontal="center" vertical="center" wrapText="1"/>
    </xf>
    <xf numFmtId="0" fontId="92" fillId="36" borderId="35" xfId="0" applyFont="1" applyFill="1" applyBorder="1" applyAlignment="1">
      <alignment horizontal="center" vertical="center"/>
    </xf>
    <xf numFmtId="0" fontId="92" fillId="36" borderId="105" xfId="0" applyFont="1" applyFill="1" applyBorder="1" applyAlignment="1">
      <alignment horizontal="center" vertical="center"/>
    </xf>
    <xf numFmtId="0" fontId="60" fillId="36" borderId="53" xfId="0" applyFont="1" applyFill="1" applyBorder="1" applyAlignment="1">
      <alignment vertical="center"/>
    </xf>
    <xf numFmtId="0" fontId="60" fillId="36" borderId="55" xfId="0" applyFont="1" applyFill="1" applyBorder="1" applyAlignment="1">
      <alignment vertical="center"/>
    </xf>
    <xf numFmtId="0" fontId="92" fillId="36" borderId="35" xfId="0" applyFont="1" applyFill="1" applyBorder="1" applyAlignment="1">
      <alignment horizontal="center" wrapText="1"/>
    </xf>
    <xf numFmtId="0" fontId="92" fillId="36" borderId="38" xfId="0" applyFont="1" applyFill="1" applyBorder="1" applyAlignment="1">
      <alignment horizontal="center" wrapText="1"/>
    </xf>
    <xf numFmtId="0" fontId="60" fillId="36" borderId="53" xfId="0" applyFont="1" applyFill="1" applyBorder="1" applyAlignment="1">
      <alignment horizontal="center" wrapText="1"/>
    </xf>
    <xf numFmtId="0" fontId="60" fillId="36" borderId="0" xfId="0" applyFont="1" applyFill="1" applyAlignment="1">
      <alignment horizontal="center" wrapText="1"/>
    </xf>
    <xf numFmtId="0" fontId="92" fillId="36" borderId="105" xfId="0" applyFont="1" applyFill="1" applyBorder="1" applyAlignment="1">
      <alignment horizontal="center" wrapText="1"/>
    </xf>
    <xf numFmtId="0" fontId="60" fillId="36" borderId="53" xfId="0" applyFont="1" applyFill="1" applyBorder="1" applyAlignment="1">
      <alignment wrapText="1"/>
    </xf>
    <xf numFmtId="0" fontId="60" fillId="36" borderId="55" xfId="0" applyFont="1" applyFill="1" applyBorder="1" applyAlignment="1">
      <alignment wrapText="1"/>
    </xf>
    <xf numFmtId="0" fontId="54" fillId="36" borderId="35" xfId="0" applyFont="1" applyFill="1" applyBorder="1" applyAlignment="1">
      <alignment horizontal="center" vertical="center" wrapText="1"/>
    </xf>
    <xf numFmtId="0" fontId="54" fillId="36" borderId="105" xfId="0" applyFont="1" applyFill="1" applyBorder="1" applyAlignment="1">
      <alignment horizontal="center" vertical="center" wrapText="1"/>
    </xf>
    <xf numFmtId="0" fontId="0" fillId="36" borderId="53" xfId="0" applyFill="1" applyBorder="1" applyAlignment="1">
      <alignment vertical="center" wrapText="1"/>
    </xf>
    <xf numFmtId="0" fontId="0" fillId="36" borderId="55" xfId="0" applyFill="1" applyBorder="1" applyAlignment="1">
      <alignment vertical="center" wrapText="1"/>
    </xf>
    <xf numFmtId="0" fontId="19" fillId="0" borderId="76" xfId="0" applyFont="1" applyBorder="1" applyAlignment="1">
      <alignment horizontal="center" vertical="center" wrapText="1"/>
    </xf>
    <xf numFmtId="0" fontId="19" fillId="0" borderId="45" xfId="0" applyFont="1" applyBorder="1" applyAlignment="1">
      <alignment horizontal="center" vertical="center" wrapText="1"/>
    </xf>
    <xf numFmtId="166" fontId="19" fillId="0" borderId="49" xfId="85" applyNumberFormat="1" applyFont="1" applyFill="1" applyBorder="1" applyAlignment="1" applyProtection="1">
      <alignment horizontal="center" vertical="center" wrapText="1"/>
    </xf>
    <xf numFmtId="0" fontId="15" fillId="0" borderId="78" xfId="0" applyFont="1" applyBorder="1" applyAlignment="1">
      <alignment horizontal="center" vertical="center" wrapText="1"/>
    </xf>
    <xf numFmtId="166" fontId="19" fillId="0" borderId="27" xfId="85" applyNumberFormat="1" applyFont="1" applyFill="1" applyBorder="1" applyAlignment="1" applyProtection="1">
      <alignment horizontal="center" vertical="center" wrapText="1"/>
    </xf>
    <xf numFmtId="0" fontId="15" fillId="0" borderId="15" xfId="0" applyFont="1" applyBorder="1" applyAlignment="1">
      <alignment horizontal="center" vertical="center" wrapText="1"/>
    </xf>
    <xf numFmtId="165" fontId="15" fillId="0" borderId="83" xfId="0" applyNumberFormat="1" applyFont="1" applyBorder="1" applyAlignment="1">
      <alignment horizontal="center" vertical="center" wrapText="1"/>
    </xf>
    <xf numFmtId="165" fontId="15" fillId="0" borderId="84" xfId="0" applyNumberFormat="1" applyFont="1" applyBorder="1" applyAlignment="1">
      <alignment horizontal="center" vertical="center" wrapText="1"/>
    </xf>
    <xf numFmtId="165" fontId="15" fillId="0" borderId="85" xfId="0" applyNumberFormat="1" applyFont="1" applyBorder="1" applyAlignment="1">
      <alignment horizontal="center" vertical="center" wrapText="1"/>
    </xf>
    <xf numFmtId="165" fontId="15" fillId="0" borderId="86" xfId="0" applyNumberFormat="1" applyFont="1" applyBorder="1" applyAlignment="1">
      <alignment horizontal="center" vertical="center" wrapText="1"/>
    </xf>
    <xf numFmtId="165" fontId="15" fillId="0" borderId="87" xfId="0" applyNumberFormat="1" applyFont="1" applyBorder="1" applyAlignment="1">
      <alignment horizontal="center" vertical="center" wrapText="1"/>
    </xf>
    <xf numFmtId="165" fontId="15" fillId="0" borderId="88" xfId="0" applyNumberFormat="1" applyFont="1" applyBorder="1" applyAlignment="1">
      <alignment horizontal="center" vertical="center" wrapText="1"/>
    </xf>
    <xf numFmtId="0" fontId="19" fillId="0" borderId="66" xfId="0" applyFont="1" applyBorder="1" applyAlignment="1">
      <alignment horizontal="center" vertical="center" wrapText="1"/>
    </xf>
    <xf numFmtId="0" fontId="19" fillId="0" borderId="67" xfId="0" applyFont="1" applyBorder="1" applyAlignment="1">
      <alignment horizontal="center" vertical="center" wrapText="1"/>
    </xf>
    <xf numFmtId="0" fontId="19" fillId="0" borderId="68" xfId="0" applyFont="1" applyBorder="1" applyAlignment="1">
      <alignment horizontal="center" vertical="center" wrapText="1"/>
    </xf>
    <xf numFmtId="0" fontId="19" fillId="0" borderId="62" xfId="0" applyFont="1" applyBorder="1" applyAlignment="1">
      <alignment horizontal="center" vertical="center" wrapText="1"/>
    </xf>
    <xf numFmtId="0" fontId="19" fillId="0" borderId="0" xfId="0" applyFont="1" applyAlignment="1">
      <alignment horizontal="center" vertical="center" wrapText="1"/>
    </xf>
    <xf numFmtId="0" fontId="19" fillId="0" borderId="69" xfId="0" applyFont="1" applyBorder="1" applyAlignment="1">
      <alignment horizontal="center" vertical="center" wrapText="1"/>
    </xf>
    <xf numFmtId="0" fontId="19" fillId="0" borderId="61" xfId="0" applyFont="1" applyBorder="1" applyAlignment="1">
      <alignment horizontal="center" vertical="center" wrapText="1"/>
    </xf>
    <xf numFmtId="0" fontId="19" fillId="0" borderId="63" xfId="0" applyFont="1" applyBorder="1" applyAlignment="1">
      <alignment horizontal="center" vertical="center" wrapText="1"/>
    </xf>
    <xf numFmtId="1" fontId="24" fillId="0" borderId="40" xfId="0" applyNumberFormat="1" applyFont="1" applyBorder="1" applyAlignment="1">
      <alignment horizontal="center" vertical="center"/>
    </xf>
    <xf numFmtId="1" fontId="24" fillId="0" borderId="54" xfId="0" applyNumberFormat="1" applyFont="1" applyBorder="1" applyAlignment="1">
      <alignment horizontal="center" vertical="center"/>
    </xf>
    <xf numFmtId="164" fontId="24" fillId="0" borderId="40" xfId="0" applyNumberFormat="1" applyFont="1" applyBorder="1" applyAlignment="1" applyProtection="1">
      <alignment horizontal="center" vertical="center"/>
      <protection locked="0"/>
    </xf>
    <xf numFmtId="164" fontId="24" fillId="0" borderId="48" xfId="0" applyNumberFormat="1" applyFont="1" applyBorder="1" applyAlignment="1" applyProtection="1">
      <alignment horizontal="center" vertical="center"/>
      <protection locked="0"/>
    </xf>
    <xf numFmtId="164" fontId="24" fillId="0" borderId="54" xfId="0" applyNumberFormat="1" applyFont="1" applyBorder="1" applyAlignment="1" applyProtection="1">
      <alignment horizontal="center" vertical="center"/>
      <protection locked="0"/>
    </xf>
    <xf numFmtId="0" fontId="54" fillId="0" borderId="38" xfId="0" applyFont="1" applyBorder="1" applyAlignment="1">
      <alignment horizontal="center" vertical="center"/>
    </xf>
    <xf numFmtId="0" fontId="24" fillId="0" borderId="37" xfId="0" applyFont="1" applyBorder="1" applyAlignment="1">
      <alignment horizontal="right" vertical="top"/>
    </xf>
    <xf numFmtId="0" fontId="72" fillId="0" borderId="14" xfId="0" applyFont="1" applyBorder="1" applyAlignment="1">
      <alignment horizontal="right" vertical="top"/>
    </xf>
    <xf numFmtId="0" fontId="19" fillId="0" borderId="0" xfId="0" applyFont="1" applyAlignment="1" applyProtection="1">
      <alignment textRotation="90" wrapText="1"/>
      <protection locked="0"/>
    </xf>
    <xf numFmtId="0" fontId="0" fillId="0" borderId="0" xfId="0" applyAlignment="1" applyProtection="1">
      <alignment textRotation="90" wrapText="1"/>
      <protection locked="0"/>
    </xf>
    <xf numFmtId="0" fontId="0" fillId="0" borderId="0" xfId="0" applyProtection="1">
      <protection locked="0"/>
    </xf>
    <xf numFmtId="0" fontId="0" fillId="0" borderId="0" xfId="0" applyAlignment="1" applyProtection="1">
      <alignment wrapText="1"/>
      <protection locked="0"/>
    </xf>
    <xf numFmtId="0" fontId="15" fillId="0" borderId="37" xfId="106" applyBorder="1" applyAlignment="1">
      <alignment horizontal="left" vertical="center" wrapText="1"/>
    </xf>
    <xf numFmtId="0" fontId="15" fillId="0" borderId="106" xfId="106" applyBorder="1" applyAlignment="1">
      <alignment horizontal="left" vertical="center" wrapText="1"/>
    </xf>
    <xf numFmtId="0" fontId="15" fillId="0" borderId="53" xfId="106" applyBorder="1" applyAlignment="1" applyProtection="1">
      <alignment horizontal="center" vertical="center" wrapText="1"/>
      <protection locked="0"/>
    </xf>
    <xf numFmtId="0" fontId="15" fillId="0" borderId="0" xfId="106" applyAlignment="1" applyProtection="1">
      <alignment horizontal="center" vertical="center" wrapText="1"/>
      <protection locked="0"/>
    </xf>
    <xf numFmtId="0" fontId="20" fillId="27" borderId="40" xfId="106" applyFont="1" applyFill="1" applyBorder="1" applyAlignment="1">
      <alignment horizontal="left" vertical="center" wrapText="1"/>
    </xf>
    <xf numFmtId="0" fontId="20" fillId="27" borderId="122" xfId="106" applyFont="1" applyFill="1" applyBorder="1" applyAlignment="1">
      <alignment horizontal="left" vertical="center" wrapText="1"/>
    </xf>
    <xf numFmtId="0" fontId="20" fillId="0" borderId="110" xfId="106" applyFont="1" applyBorder="1" applyAlignment="1">
      <alignment horizontal="left" vertical="center" wrapText="1"/>
    </xf>
    <xf numFmtId="0" fontId="20" fillId="0" borderId="90" xfId="106" applyFont="1" applyBorder="1" applyAlignment="1">
      <alignment horizontal="left" vertical="center" wrapText="1"/>
    </xf>
    <xf numFmtId="0" fontId="20" fillId="0" borderId="36" xfId="106" applyFont="1" applyBorder="1" applyAlignment="1">
      <alignment horizontal="left" vertical="center" wrapText="1"/>
    </xf>
    <xf numFmtId="0" fontId="15" fillId="0" borderId="105" xfId="1162" applyBorder="1" applyAlignment="1">
      <alignment horizontal="left" vertical="center" wrapText="1"/>
    </xf>
    <xf numFmtId="0" fontId="15" fillId="0" borderId="55" xfId="1162" applyBorder="1" applyAlignment="1">
      <alignment horizontal="left" vertical="center"/>
    </xf>
    <xf numFmtId="0" fontId="15" fillId="0" borderId="106" xfId="1162" applyBorder="1" applyAlignment="1">
      <alignment horizontal="left" vertical="center"/>
    </xf>
    <xf numFmtId="1" fontId="15" fillId="46" borderId="34" xfId="1162" applyNumberFormat="1" applyFill="1" applyBorder="1" applyAlignment="1">
      <alignment horizontal="center" vertical="center"/>
    </xf>
    <xf numFmtId="1" fontId="15" fillId="46" borderId="21" xfId="1162" applyNumberFormat="1" applyFill="1" applyBorder="1" applyAlignment="1">
      <alignment horizontal="center" vertical="center"/>
    </xf>
    <xf numFmtId="1" fontId="15" fillId="46" borderId="13" xfId="1162" applyNumberFormat="1" applyFill="1" applyBorder="1" applyAlignment="1">
      <alignment horizontal="center" vertical="center"/>
    </xf>
    <xf numFmtId="0" fontId="15" fillId="0" borderId="32" xfId="106" applyBorder="1" applyAlignment="1" applyProtection="1">
      <alignment horizontal="center" vertical="center" wrapText="1"/>
      <protection locked="0"/>
    </xf>
    <xf numFmtId="0" fontId="15" fillId="0" borderId="42" xfId="106" applyBorder="1" applyAlignment="1" applyProtection="1">
      <alignment horizontal="center" vertical="center" wrapText="1"/>
      <protection locked="0"/>
    </xf>
    <xf numFmtId="0" fontId="15" fillId="0" borderId="123" xfId="106" applyBorder="1" applyAlignment="1">
      <alignment horizontal="left" vertical="center" wrapText="1"/>
    </xf>
    <xf numFmtId="0" fontId="15" fillId="0" borderId="122" xfId="106" applyBorder="1" applyAlignment="1">
      <alignment horizontal="left" vertical="center" wrapText="1"/>
    </xf>
    <xf numFmtId="0" fontId="16" fillId="0" borderId="90" xfId="1162" applyFont="1" applyBorder="1" applyAlignment="1">
      <alignment horizontal="left" vertical="center" wrapText="1"/>
    </xf>
    <xf numFmtId="0" fontId="16" fillId="0" borderId="36" xfId="1162" applyFont="1" applyBorder="1" applyAlignment="1">
      <alignment horizontal="left" vertical="center" wrapText="1"/>
    </xf>
    <xf numFmtId="0" fontId="51" fillId="0" borderId="41" xfId="106" applyFont="1" applyBorder="1" applyAlignment="1">
      <alignment vertical="center" wrapText="1"/>
    </xf>
    <xf numFmtId="0" fontId="51" fillId="0" borderId="41" xfId="1162" applyFont="1" applyBorder="1" applyAlignment="1">
      <alignment vertical="center" wrapText="1"/>
    </xf>
    <xf numFmtId="0" fontId="51" fillId="0" borderId="89" xfId="1162" applyFont="1" applyBorder="1" applyAlignment="1">
      <alignment vertical="center" wrapText="1"/>
    </xf>
    <xf numFmtId="0" fontId="15" fillId="0" borderId="30" xfId="106" applyBorder="1" applyAlignment="1">
      <alignment horizontal="left" vertical="center" wrapText="1"/>
    </xf>
    <xf numFmtId="0" fontId="15" fillId="0" borderId="70" xfId="106" applyBorder="1" applyAlignment="1">
      <alignment horizontal="left" vertical="center" wrapText="1"/>
    </xf>
    <xf numFmtId="0" fontId="15" fillId="0" borderId="75" xfId="106" applyBorder="1" applyAlignment="1">
      <alignment horizontal="left" vertical="center" wrapText="1"/>
    </xf>
    <xf numFmtId="0" fontId="15" fillId="0" borderId="56" xfId="106" applyBorder="1" applyAlignment="1">
      <alignment horizontal="left" vertical="center" wrapText="1"/>
    </xf>
    <xf numFmtId="0" fontId="15" fillId="0" borderId="51" xfId="106" applyBorder="1" applyAlignment="1">
      <alignment horizontal="center" vertical="center" wrapText="1"/>
    </xf>
    <xf numFmtId="0" fontId="15" fillId="29" borderId="15" xfId="1162" applyFill="1" applyBorder="1" applyAlignment="1" applyProtection="1">
      <alignment horizontal="center" vertical="center"/>
      <protection locked="0"/>
    </xf>
    <xf numFmtId="0" fontId="15" fillId="29" borderId="45" xfId="1162" applyFill="1" applyBorder="1" applyAlignment="1" applyProtection="1">
      <alignment horizontal="center" vertical="center"/>
      <protection locked="0"/>
    </xf>
    <xf numFmtId="0" fontId="15" fillId="0" borderId="10" xfId="106" applyBorder="1" applyAlignment="1" applyProtection="1">
      <alignment horizontal="center" vertical="center" wrapText="1"/>
      <protection locked="0"/>
    </xf>
    <xf numFmtId="0" fontId="15" fillId="0" borderId="99" xfId="106" applyBorder="1" applyAlignment="1">
      <alignment horizontal="left" vertical="center" wrapText="1"/>
    </xf>
    <xf numFmtId="0" fontId="15" fillId="0" borderId="80" xfId="106" applyBorder="1" applyAlignment="1">
      <alignment horizontal="left" vertical="center" wrapText="1"/>
    </xf>
    <xf numFmtId="0" fontId="15" fillId="29" borderId="21" xfId="1162" applyFill="1" applyBorder="1" applyAlignment="1" applyProtection="1">
      <alignment horizontal="center" vertical="center"/>
      <protection locked="0"/>
    </xf>
    <xf numFmtId="0" fontId="15" fillId="29" borderId="13" xfId="1162" applyFill="1" applyBorder="1" applyAlignment="1" applyProtection="1">
      <alignment horizontal="center" vertical="center"/>
      <protection locked="0"/>
    </xf>
    <xf numFmtId="0" fontId="20" fillId="27" borderId="48" xfId="106" applyFont="1" applyFill="1" applyBorder="1" applyAlignment="1">
      <alignment horizontal="left" vertical="center" wrapText="1"/>
    </xf>
    <xf numFmtId="0" fontId="20" fillId="69" borderId="90" xfId="106" applyFont="1" applyFill="1" applyBorder="1" applyAlignment="1">
      <alignment horizontal="left" vertical="center" wrapText="1"/>
    </xf>
    <xf numFmtId="0" fontId="15" fillId="0" borderId="42" xfId="106" applyBorder="1" applyAlignment="1">
      <alignment horizontal="left" vertical="center" wrapText="1"/>
    </xf>
    <xf numFmtId="0" fontId="15" fillId="29" borderId="78" xfId="1162" applyFill="1" applyBorder="1" applyAlignment="1" applyProtection="1">
      <alignment horizontal="center" vertical="center"/>
      <protection locked="0"/>
    </xf>
    <xf numFmtId="0" fontId="20" fillId="0" borderId="0" xfId="1155" applyFont="1" applyAlignment="1">
      <alignment horizontal="left" vertical="center"/>
    </xf>
    <xf numFmtId="0" fontId="28" fillId="26" borderId="40" xfId="1155" applyFont="1" applyFill="1" applyBorder="1" applyAlignment="1">
      <alignment vertical="center" wrapText="1"/>
    </xf>
    <xf numFmtId="0" fontId="28" fillId="26" borderId="48" xfId="1155" applyFont="1" applyFill="1" applyBorder="1" applyAlignment="1">
      <alignment vertical="center" wrapText="1"/>
    </xf>
    <xf numFmtId="0" fontId="25" fillId="0" borderId="0" xfId="1155" applyFont="1" applyAlignment="1">
      <alignment horizontal="left" vertical="top" wrapText="1"/>
    </xf>
    <xf numFmtId="0" fontId="15" fillId="0" borderId="0" xfId="1155" applyAlignment="1">
      <alignment vertical="center" wrapText="1"/>
    </xf>
    <xf numFmtId="0" fontId="15" fillId="0" borderId="0" xfId="106" applyAlignment="1">
      <alignment vertical="center"/>
    </xf>
    <xf numFmtId="0" fontId="28" fillId="26" borderId="40" xfId="1155" applyFont="1" applyFill="1" applyBorder="1" applyAlignment="1">
      <alignment horizontal="center" vertical="center" wrapText="1"/>
    </xf>
    <xf numFmtId="0" fontId="28" fillId="26" borderId="54" xfId="1155" applyFont="1" applyFill="1" applyBorder="1" applyAlignment="1">
      <alignment horizontal="center" vertical="center" wrapText="1"/>
    </xf>
    <xf numFmtId="0" fontId="15" fillId="29" borderId="34" xfId="106" applyFill="1" applyBorder="1" applyAlignment="1" applyProtection="1">
      <alignment horizontal="center" vertical="center" wrapText="1"/>
      <protection locked="0"/>
    </xf>
    <xf numFmtId="0" fontId="15" fillId="29" borderId="21" xfId="106" applyFill="1" applyBorder="1" applyAlignment="1" applyProtection="1">
      <alignment horizontal="center" vertical="center" wrapText="1"/>
      <protection locked="0"/>
    </xf>
    <xf numFmtId="0" fontId="15" fillId="0" borderId="0" xfId="106" applyAlignment="1">
      <alignment horizontal="center" vertical="center" wrapText="1"/>
    </xf>
    <xf numFmtId="0" fontId="19" fillId="0" borderId="58" xfId="1143" applyFont="1" applyBorder="1" applyAlignment="1">
      <alignment vertical="center" wrapText="1"/>
    </xf>
    <xf numFmtId="0" fontId="19" fillId="0" borderId="28" xfId="1143" applyFont="1" applyBorder="1" applyAlignment="1">
      <alignment vertical="center" wrapText="1"/>
    </xf>
    <xf numFmtId="0" fontId="19" fillId="0" borderId="33" xfId="1143" applyFont="1" applyBorder="1" applyAlignment="1">
      <alignment vertical="center" wrapText="1"/>
    </xf>
    <xf numFmtId="0" fontId="60" fillId="0" borderId="0" xfId="1143" applyAlignment="1">
      <alignment horizontal="center" vertical="center"/>
    </xf>
    <xf numFmtId="0" fontId="60" fillId="0" borderId="55" xfId="1143" applyBorder="1" applyAlignment="1">
      <alignment horizontal="center" vertical="center"/>
    </xf>
    <xf numFmtId="0" fontId="15" fillId="29" borderId="58" xfId="106" applyFill="1" applyBorder="1" applyAlignment="1" applyProtection="1">
      <alignment horizontal="center" vertical="center" wrapText="1"/>
      <protection locked="0"/>
    </xf>
    <xf numFmtId="0" fontId="15" fillId="29" borderId="33" xfId="106" applyFill="1" applyBorder="1" applyAlignment="1" applyProtection="1">
      <alignment horizontal="center" vertical="center" wrapText="1"/>
      <protection locked="0"/>
    </xf>
    <xf numFmtId="0" fontId="15" fillId="29" borderId="28" xfId="106" applyFill="1" applyBorder="1" applyAlignment="1" applyProtection="1">
      <alignment horizontal="center" vertical="center" wrapText="1"/>
      <protection locked="0"/>
    </xf>
    <xf numFmtId="0" fontId="28" fillId="26" borderId="96" xfId="106" applyFont="1" applyFill="1" applyBorder="1" applyAlignment="1">
      <alignment vertical="center" wrapText="1"/>
    </xf>
    <xf numFmtId="0" fontId="28" fillId="26" borderId="95" xfId="106" applyFont="1" applyFill="1" applyBorder="1" applyAlignment="1">
      <alignment vertical="center" wrapText="1"/>
    </xf>
    <xf numFmtId="0" fontId="25" fillId="0" borderId="0" xfId="106" applyFont="1" applyAlignment="1">
      <alignment horizontal="left" vertical="top" wrapText="1"/>
    </xf>
    <xf numFmtId="0" fontId="19" fillId="0" borderId="64" xfId="106" applyFont="1" applyBorder="1" applyAlignment="1">
      <alignment vertical="center" wrapText="1"/>
    </xf>
    <xf numFmtId="0" fontId="15" fillId="0" borderId="59" xfId="106" applyBorder="1" applyAlignment="1">
      <alignment vertical="center"/>
    </xf>
    <xf numFmtId="0" fontId="50" fillId="26" borderId="96" xfId="106" applyFont="1" applyFill="1" applyBorder="1" applyAlignment="1">
      <alignment vertical="center" wrapText="1"/>
    </xf>
    <xf numFmtId="0" fontId="50" fillId="26" borderId="99" xfId="106" applyFont="1" applyFill="1" applyBorder="1" applyAlignment="1">
      <alignment vertical="center" wrapText="1"/>
    </xf>
    <xf numFmtId="0" fontId="65" fillId="26" borderId="31" xfId="144" applyFont="1" applyFill="1" applyBorder="1" applyAlignment="1">
      <alignment horizontal="left" vertical="center"/>
    </xf>
    <xf numFmtId="0" fontId="51" fillId="26" borderId="99" xfId="0" applyFont="1" applyFill="1" applyBorder="1" applyAlignment="1">
      <alignment horizontal="left" vertical="center"/>
    </xf>
    <xf numFmtId="0" fontId="64" fillId="27" borderId="40" xfId="106" applyFont="1" applyFill="1" applyBorder="1" applyAlignment="1">
      <alignment horizontal="left" vertical="center" wrapText="1"/>
    </xf>
    <xf numFmtId="0" fontId="64" fillId="27" borderId="48" xfId="106" applyFont="1" applyFill="1" applyBorder="1" applyAlignment="1">
      <alignment horizontal="left" vertical="center"/>
    </xf>
    <xf numFmtId="0" fontId="62" fillId="27" borderId="48" xfId="0" applyFont="1" applyFill="1" applyBorder="1"/>
    <xf numFmtId="0" fontId="62" fillId="36" borderId="76" xfId="107" applyFont="1" applyFill="1" applyBorder="1" applyAlignment="1">
      <alignment vertical="center"/>
    </xf>
    <xf numFmtId="0" fontId="62" fillId="36" borderId="56" xfId="107" applyFont="1" applyFill="1" applyBorder="1" applyAlignment="1">
      <alignment vertical="center"/>
    </xf>
    <xf numFmtId="0" fontId="62" fillId="36" borderId="94" xfId="107" applyFont="1" applyFill="1" applyBorder="1" applyAlignment="1">
      <alignment vertical="center"/>
    </xf>
    <xf numFmtId="0" fontId="62" fillId="36" borderId="47" xfId="107" applyFont="1" applyFill="1" applyBorder="1" applyAlignment="1">
      <alignment vertical="center"/>
    </xf>
    <xf numFmtId="0" fontId="20" fillId="27" borderId="48" xfId="106" applyFont="1" applyFill="1" applyBorder="1" applyAlignment="1">
      <alignment horizontal="left" vertical="center"/>
    </xf>
    <xf numFmtId="0" fontId="15" fillId="27" borderId="48" xfId="0" applyFont="1" applyFill="1" applyBorder="1"/>
    <xf numFmtId="0" fontId="65" fillId="26" borderId="96" xfId="144" applyFont="1" applyFill="1" applyBorder="1" applyAlignment="1">
      <alignment vertical="center"/>
    </xf>
    <xf numFmtId="0" fontId="65" fillId="26" borderId="99" xfId="144" applyFont="1" applyFill="1" applyBorder="1" applyAlignment="1">
      <alignment vertical="center"/>
    </xf>
    <xf numFmtId="0" fontId="64" fillId="0" borderId="0" xfId="106" applyFont="1" applyAlignment="1">
      <alignment horizontal="left" vertical="center" wrapText="1"/>
    </xf>
    <xf numFmtId="0" fontId="64" fillId="0" borderId="0" xfId="106" applyFont="1" applyAlignment="1">
      <alignment horizontal="left" vertical="center"/>
    </xf>
    <xf numFmtId="0" fontId="65" fillId="0" borderId="40" xfId="1150" applyFont="1" applyBorder="1" applyAlignment="1">
      <alignment horizontal="center" vertical="center"/>
    </xf>
    <xf numFmtId="0" fontId="65" fillId="0" borderId="48" xfId="1150" applyFont="1" applyBorder="1" applyAlignment="1">
      <alignment horizontal="center" vertical="center"/>
    </xf>
    <xf numFmtId="0" fontId="65" fillId="0" borderId="54" xfId="1150" applyFont="1" applyBorder="1" applyAlignment="1">
      <alignment horizontal="center" vertical="center"/>
    </xf>
    <xf numFmtId="0" fontId="65" fillId="0" borderId="64" xfId="1150" applyFont="1" applyBorder="1" applyAlignment="1">
      <alignment horizontal="center" vertical="center"/>
    </xf>
    <xf numFmtId="0" fontId="65" fillId="0" borderId="65" xfId="1150" applyFont="1" applyBorder="1" applyAlignment="1">
      <alignment horizontal="center" vertical="center"/>
    </xf>
    <xf numFmtId="0" fontId="65" fillId="0" borderId="59" xfId="1150" applyFont="1" applyBorder="1" applyAlignment="1">
      <alignment horizontal="center" vertical="center"/>
    </xf>
    <xf numFmtId="0" fontId="86" fillId="27" borderId="64" xfId="1152" applyFont="1" applyFill="1" applyBorder="1" applyAlignment="1">
      <alignment horizontal="center" vertical="center"/>
    </xf>
    <xf numFmtId="0" fontId="86" fillId="27" borderId="65" xfId="1152" applyFont="1" applyFill="1" applyBorder="1" applyAlignment="1">
      <alignment horizontal="center" vertical="center"/>
    </xf>
    <xf numFmtId="0" fontId="86" fillId="27" borderId="59" xfId="1152" applyFont="1" applyFill="1" applyBorder="1" applyAlignment="1">
      <alignment horizontal="center" vertical="center"/>
    </xf>
    <xf numFmtId="0" fontId="59" fillId="26" borderId="10" xfId="1153" applyFont="1" applyFill="1" applyBorder="1" applyAlignment="1">
      <alignment horizontal="center"/>
    </xf>
    <xf numFmtId="0" fontId="81" fillId="26" borderId="91" xfId="1153" applyFont="1" applyFill="1" applyBorder="1" applyAlignment="1">
      <alignment horizontal="center" vertical="center"/>
    </xf>
    <xf numFmtId="0" fontId="81" fillId="26" borderId="38" xfId="1153" applyFont="1" applyFill="1" applyBorder="1" applyAlignment="1">
      <alignment horizontal="center" vertical="center"/>
    </xf>
    <xf numFmtId="0" fontId="81" fillId="26" borderId="92" xfId="1153" applyFont="1" applyFill="1" applyBorder="1" applyAlignment="1">
      <alignment horizontal="center" vertical="center"/>
    </xf>
    <xf numFmtId="0" fontId="81" fillId="26" borderId="100" xfId="1153" applyFont="1" applyFill="1" applyBorder="1" applyAlignment="1">
      <alignment horizontal="center" vertical="center"/>
    </xf>
    <xf numFmtId="0" fontId="81" fillId="26" borderId="108" xfId="1153" applyFont="1" applyFill="1" applyBorder="1" applyAlignment="1">
      <alignment horizontal="center" vertical="center"/>
    </xf>
    <xf numFmtId="0" fontId="81" fillId="26" borderId="109" xfId="1153" applyFont="1" applyFill="1" applyBorder="1" applyAlignment="1">
      <alignment horizontal="center" vertical="center"/>
    </xf>
    <xf numFmtId="0" fontId="65" fillId="26" borderId="0" xfId="1153" applyFont="1" applyFill="1" applyAlignment="1">
      <alignment horizontal="center"/>
    </xf>
    <xf numFmtId="0" fontId="49" fillId="26" borderId="0" xfId="1153" applyFont="1" applyFill="1" applyAlignment="1">
      <alignment horizontal="center"/>
    </xf>
    <xf numFmtId="0" fontId="54" fillId="0" borderId="0" xfId="106" applyFont="1" applyAlignment="1">
      <alignment horizontal="left" vertical="center"/>
    </xf>
    <xf numFmtId="0" fontId="49" fillId="0" borderId="34" xfId="1164" applyFont="1" applyBorder="1" applyAlignment="1">
      <alignment horizontal="left" vertical="center" wrapText="1"/>
    </xf>
    <xf numFmtId="0" fontId="49" fillId="0" borderId="21" xfId="1164" applyFont="1" applyBorder="1" applyAlignment="1">
      <alignment horizontal="left" vertical="center" wrapText="1"/>
    </xf>
    <xf numFmtId="0" fontId="51" fillId="29" borderId="21" xfId="1156" applyFont="1" applyFill="1" applyBorder="1" applyAlignment="1" applyProtection="1">
      <alignment horizontal="center" vertical="center" wrapText="1"/>
      <protection locked="0"/>
    </xf>
    <xf numFmtId="0" fontId="51" fillId="29" borderId="13" xfId="1156" applyFont="1" applyFill="1" applyBorder="1" applyAlignment="1" applyProtection="1">
      <alignment horizontal="center" vertical="center" wrapText="1"/>
      <protection locked="0"/>
    </xf>
    <xf numFmtId="0" fontId="15" fillId="69" borderId="32" xfId="106" applyFill="1" applyBorder="1" applyAlignment="1" applyProtection="1">
      <alignment horizontal="center" vertical="center" wrapText="1"/>
      <protection locked="0"/>
    </xf>
    <xf numFmtId="0" fontId="60" fillId="69" borderId="42" xfId="1143" applyFill="1" applyBorder="1" applyAlignment="1">
      <alignment horizontal="center" vertical="center" wrapText="1"/>
    </xf>
    <xf numFmtId="0" fontId="28" fillId="26" borderId="40" xfId="106" applyFont="1" applyFill="1" applyBorder="1" applyAlignment="1">
      <alignment vertical="center" wrapText="1"/>
    </xf>
    <xf numFmtId="0" fontId="28" fillId="26" borderId="48" xfId="106" applyFont="1" applyFill="1" applyBorder="1" applyAlignment="1">
      <alignment vertical="center" wrapText="1"/>
    </xf>
    <xf numFmtId="0" fontId="19" fillId="27" borderId="40" xfId="106" applyFont="1" applyFill="1" applyBorder="1" applyAlignment="1">
      <alignment horizontal="center" vertical="center" wrapText="1"/>
    </xf>
    <xf numFmtId="0" fontId="0" fillId="0" borderId="48" xfId="0" applyBorder="1" applyAlignment="1">
      <alignment horizontal="center" vertical="center" wrapText="1"/>
    </xf>
    <xf numFmtId="0" fontId="0" fillId="0" borderId="54" xfId="0" applyBorder="1" applyAlignment="1">
      <alignment horizontal="center" vertical="center" wrapText="1"/>
    </xf>
    <xf numFmtId="0" fontId="15" fillId="0" borderId="40" xfId="106" applyBorder="1" applyAlignment="1">
      <alignment horizontal="center" vertical="center" wrapText="1"/>
    </xf>
    <xf numFmtId="0" fontId="49" fillId="29" borderId="43" xfId="1156" applyFont="1" applyFill="1" applyBorder="1" applyAlignment="1" applyProtection="1">
      <alignment horizontal="center" vertical="center" wrapText="1"/>
      <protection locked="0"/>
    </xf>
    <xf numFmtId="0" fontId="0" fillId="0" borderId="21" xfId="0" applyBorder="1" applyAlignment="1">
      <alignment horizontal="center" vertical="center" wrapText="1"/>
    </xf>
    <xf numFmtId="0" fontId="0" fillId="0" borderId="19" xfId="0" applyBorder="1" applyAlignment="1">
      <alignment horizontal="center" vertical="center" wrapText="1"/>
    </xf>
    <xf numFmtId="0" fontId="78" fillId="26" borderId="96" xfId="106" applyFont="1" applyFill="1" applyBorder="1" applyAlignment="1">
      <alignment horizontal="left" vertical="center" wrapText="1"/>
    </xf>
    <xf numFmtId="0" fontId="78" fillId="26" borderId="95" xfId="106" applyFont="1" applyFill="1" applyBorder="1" applyAlignment="1">
      <alignment horizontal="left" vertical="center" wrapText="1"/>
    </xf>
    <xf numFmtId="0" fontId="78" fillId="26" borderId="52" xfId="106" applyFont="1" applyFill="1" applyBorder="1" applyAlignment="1">
      <alignment horizontal="left" vertical="center" wrapText="1"/>
    </xf>
    <xf numFmtId="0" fontId="19" fillId="28" borderId="40" xfId="106" applyFont="1" applyFill="1" applyBorder="1" applyAlignment="1">
      <alignment horizontal="center" vertical="center"/>
    </xf>
    <xf numFmtId="0" fontId="19" fillId="28" borderId="48" xfId="106" applyFont="1" applyFill="1" applyBorder="1" applyAlignment="1">
      <alignment horizontal="center" vertical="center"/>
    </xf>
    <xf numFmtId="0" fontId="19" fillId="28" borderId="122" xfId="106" applyFont="1" applyFill="1" applyBorder="1" applyAlignment="1">
      <alignment horizontal="center" vertical="center"/>
    </xf>
    <xf numFmtId="0" fontId="86" fillId="26" borderId="40" xfId="106" applyFont="1" applyFill="1" applyBorder="1" applyAlignment="1">
      <alignment horizontal="right" vertical="center" wrapText="1"/>
    </xf>
    <xf numFmtId="0" fontId="86" fillId="26" borderId="48" xfId="106" applyFont="1" applyFill="1" applyBorder="1" applyAlignment="1">
      <alignment horizontal="right" vertical="center" wrapText="1"/>
    </xf>
    <xf numFmtId="0" fontId="86" fillId="26" borderId="122" xfId="106" applyFont="1" applyFill="1" applyBorder="1" applyAlignment="1">
      <alignment horizontal="right" vertical="center" wrapText="1"/>
    </xf>
    <xf numFmtId="0" fontId="19" fillId="27" borderId="64" xfId="106" applyFont="1" applyFill="1" applyBorder="1" applyAlignment="1">
      <alignment horizontal="center" vertical="center"/>
    </xf>
    <xf numFmtId="0" fontId="19" fillId="27" borderId="65" xfId="106" applyFont="1" applyFill="1" applyBorder="1" applyAlignment="1">
      <alignment horizontal="center" vertical="center"/>
    </xf>
    <xf numFmtId="0" fontId="51" fillId="26" borderId="43" xfId="1144" applyFont="1" applyFill="1" applyBorder="1" applyAlignment="1">
      <alignment horizontal="center" vertical="center"/>
    </xf>
    <xf numFmtId="0" fontId="51" fillId="26" borderId="21" xfId="1144" applyFont="1" applyFill="1" applyBorder="1" applyAlignment="1">
      <alignment horizontal="center" vertical="center"/>
    </xf>
    <xf numFmtId="0" fontId="51" fillId="26" borderId="19" xfId="1144" applyFont="1" applyFill="1" applyBorder="1" applyAlignment="1">
      <alignment horizontal="center" vertical="center"/>
    </xf>
    <xf numFmtId="0" fontId="19" fillId="27" borderId="18" xfId="106" applyFont="1" applyFill="1" applyBorder="1" applyAlignment="1">
      <alignment horizontal="center" vertical="center"/>
    </xf>
    <xf numFmtId="0" fontId="19" fillId="27" borderId="10" xfId="106" applyFont="1" applyFill="1" applyBorder="1" applyAlignment="1">
      <alignment horizontal="center" vertical="center"/>
    </xf>
    <xf numFmtId="0" fontId="19" fillId="27" borderId="11" xfId="106" applyFont="1" applyFill="1" applyBorder="1" applyAlignment="1">
      <alignment horizontal="center" vertical="center"/>
    </xf>
    <xf numFmtId="0" fontId="65" fillId="0" borderId="40" xfId="1145" applyFont="1" applyBorder="1" applyAlignment="1">
      <alignment horizontal="center" vertical="center"/>
    </xf>
    <xf numFmtId="0" fontId="65" fillId="0" borderId="48" xfId="1145" applyFont="1" applyBorder="1" applyAlignment="1">
      <alignment horizontal="center" vertical="center"/>
    </xf>
    <xf numFmtId="0" fontId="65" fillId="0" borderId="54" xfId="1145" applyFont="1" applyBorder="1" applyAlignment="1">
      <alignment horizontal="center" vertical="center"/>
    </xf>
    <xf numFmtId="165" fontId="20" fillId="0" borderId="10" xfId="1143" applyNumberFormat="1" applyFont="1" applyBorder="1" applyAlignment="1">
      <alignment horizontal="left" vertical="center"/>
    </xf>
    <xf numFmtId="165" fontId="20" fillId="0" borderId="0" xfId="1143" applyNumberFormat="1" applyFont="1" applyAlignment="1">
      <alignment horizontal="left" vertical="center"/>
    </xf>
    <xf numFmtId="0" fontId="16" fillId="53" borderId="11" xfId="1143" applyFont="1" applyFill="1" applyBorder="1" applyAlignment="1">
      <alignment horizontal="center" vertical="center" wrapText="1"/>
    </xf>
    <xf numFmtId="0" fontId="16" fillId="53" borderId="44" xfId="1143" applyFont="1" applyFill="1" applyBorder="1" applyAlignment="1">
      <alignment horizontal="center" vertical="center" wrapText="1"/>
    </xf>
    <xf numFmtId="0" fontId="16" fillId="53" borderId="30" xfId="1143" applyFont="1" applyFill="1" applyBorder="1" applyAlignment="1">
      <alignment horizontal="left" vertical="center" wrapText="1" indent="3"/>
    </xf>
    <xf numFmtId="0" fontId="16" fillId="53" borderId="44" xfId="1143" applyFont="1" applyFill="1" applyBorder="1" applyAlignment="1">
      <alignment horizontal="left" vertical="center" wrapText="1" indent="3"/>
    </xf>
    <xf numFmtId="0" fontId="16" fillId="48" borderId="11" xfId="1143" applyFont="1" applyFill="1" applyBorder="1" applyAlignment="1">
      <alignment horizontal="left" vertical="center" wrapText="1" indent="3"/>
    </xf>
    <xf numFmtId="0" fontId="16" fillId="48" borderId="44" xfId="1143" applyFont="1" applyFill="1" applyBorder="1" applyAlignment="1">
      <alignment horizontal="left" vertical="center" wrapText="1" indent="3"/>
    </xf>
    <xf numFmtId="0" fontId="16" fillId="48" borderId="30" xfId="1143" applyFont="1" applyFill="1" applyBorder="1" applyAlignment="1">
      <alignment horizontal="left" vertical="center" wrapText="1" indent="3"/>
    </xf>
    <xf numFmtId="0" fontId="16" fillId="48" borderId="22" xfId="1143" applyFont="1" applyFill="1" applyBorder="1" applyAlignment="1">
      <alignment horizontal="left" vertical="center" wrapText="1" indent="3"/>
    </xf>
    <xf numFmtId="0" fontId="16" fillId="48" borderId="70" xfId="1143" applyFont="1" applyFill="1" applyBorder="1" applyAlignment="1">
      <alignment horizontal="left" vertical="center" wrapText="1" indent="3"/>
    </xf>
    <xf numFmtId="165" fontId="20" fillId="0" borderId="10" xfId="1143" applyNumberFormat="1" applyFont="1" applyBorder="1" applyAlignment="1">
      <alignment horizontal="left" vertical="center" wrapText="1"/>
    </xf>
    <xf numFmtId="0" fontId="60" fillId="0" borderId="32" xfId="1143" applyBorder="1" applyAlignment="1">
      <alignment horizontal="center"/>
    </xf>
    <xf numFmtId="0" fontId="60" fillId="0" borderId="41" xfId="1143" applyBorder="1" applyAlignment="1">
      <alignment horizontal="center"/>
    </xf>
    <xf numFmtId="0" fontId="60" fillId="0" borderId="42" xfId="1143" applyBorder="1" applyAlignment="1">
      <alignment horizontal="center"/>
    </xf>
    <xf numFmtId="0" fontId="16" fillId="56" borderId="10" xfId="1143" applyFont="1" applyFill="1" applyBorder="1" applyAlignment="1">
      <alignment horizontal="left" vertical="center" indent="3"/>
    </xf>
    <xf numFmtId="0" fontId="16" fillId="53" borderId="11" xfId="1143" applyFont="1" applyFill="1" applyBorder="1" applyAlignment="1">
      <alignment horizontal="left" vertical="center" wrapText="1" indent="3"/>
    </xf>
    <xf numFmtId="0" fontId="16" fillId="56" borderId="11" xfId="1143" applyFont="1" applyFill="1" applyBorder="1" applyAlignment="1">
      <alignment horizontal="left" vertical="center" wrapText="1" indent="3"/>
    </xf>
    <xf numFmtId="0" fontId="16" fillId="56" borderId="44" xfId="1143" applyFont="1" applyFill="1" applyBorder="1" applyAlignment="1">
      <alignment horizontal="left" vertical="center" wrapText="1" indent="3"/>
    </xf>
    <xf numFmtId="0" fontId="16" fillId="56" borderId="30" xfId="1143" applyFont="1" applyFill="1" applyBorder="1" applyAlignment="1">
      <alignment horizontal="left" vertical="center" wrapText="1" indent="3"/>
    </xf>
    <xf numFmtId="0" fontId="16" fillId="56" borderId="70" xfId="1143" applyFont="1" applyFill="1" applyBorder="1" applyAlignment="1">
      <alignment horizontal="left" vertical="center" wrapText="1" indent="3"/>
    </xf>
    <xf numFmtId="0" fontId="16" fillId="56" borderId="10" xfId="1143" applyFont="1" applyFill="1" applyBorder="1" applyAlignment="1">
      <alignment horizontal="left" vertical="center" wrapText="1" indent="5"/>
    </xf>
    <xf numFmtId="0" fontId="16" fillId="56" borderId="47" xfId="1143" applyFont="1" applyFill="1" applyBorder="1" applyAlignment="1">
      <alignment horizontal="left" vertical="center" wrapText="1" indent="3"/>
    </xf>
    <xf numFmtId="0" fontId="16" fillId="53" borderId="47" xfId="1143" applyFont="1" applyFill="1" applyBorder="1" applyAlignment="1">
      <alignment horizontal="left" vertical="center" wrapText="1" indent="3"/>
    </xf>
    <xf numFmtId="0" fontId="16" fillId="62" borderId="10" xfId="1143" applyFont="1" applyFill="1" applyBorder="1" applyAlignment="1">
      <alignment horizontal="left" vertical="center" wrapText="1" indent="5"/>
    </xf>
    <xf numFmtId="0" fontId="16" fillId="62" borderId="11" xfId="1143" applyFont="1" applyFill="1" applyBorder="1" applyAlignment="1">
      <alignment horizontal="left" vertical="center" wrapText="1" indent="3"/>
    </xf>
    <xf numFmtId="0" fontId="16" fillId="62" borderId="44" xfId="1143" applyFont="1" applyFill="1" applyBorder="1" applyAlignment="1">
      <alignment horizontal="left" vertical="center" wrapText="1" indent="3"/>
    </xf>
    <xf numFmtId="0" fontId="16" fillId="62" borderId="30" xfId="1143" applyFont="1" applyFill="1" applyBorder="1" applyAlignment="1">
      <alignment horizontal="left" vertical="center" wrapText="1" indent="3"/>
    </xf>
    <xf numFmtId="0" fontId="16" fillId="62" borderId="47" xfId="1143" applyFont="1" applyFill="1" applyBorder="1" applyAlignment="1">
      <alignment horizontal="left" vertical="center" wrapText="1" indent="3"/>
    </xf>
    <xf numFmtId="0" fontId="16" fillId="62" borderId="11" xfId="1143" applyFont="1" applyFill="1" applyBorder="1" applyAlignment="1">
      <alignment horizontal="center" vertical="center" wrapText="1"/>
    </xf>
    <xf numFmtId="0" fontId="16" fillId="62" borderId="44" xfId="1143" applyFont="1" applyFill="1" applyBorder="1" applyAlignment="1">
      <alignment horizontal="center" vertical="center" wrapText="1"/>
    </xf>
    <xf numFmtId="0" fontId="16" fillId="62" borderId="30" xfId="1143" applyFont="1" applyFill="1" applyBorder="1" applyAlignment="1">
      <alignment horizontal="left" vertical="center" indent="5"/>
    </xf>
    <xf numFmtId="0" fontId="16" fillId="62" borderId="22" xfId="1143" applyFont="1" applyFill="1" applyBorder="1" applyAlignment="1">
      <alignment horizontal="left" vertical="center" indent="5"/>
    </xf>
    <xf numFmtId="0" fontId="16" fillId="62" borderId="70" xfId="1143" applyFont="1" applyFill="1" applyBorder="1" applyAlignment="1">
      <alignment horizontal="left" vertical="center" indent="5"/>
    </xf>
    <xf numFmtId="0" fontId="16" fillId="62" borderId="10" xfId="1143" applyFont="1" applyFill="1" applyBorder="1" applyAlignment="1">
      <alignment horizontal="left" vertical="center" wrapText="1" indent="3"/>
    </xf>
    <xf numFmtId="0" fontId="16" fillId="64" borderId="10" xfId="1143" applyFont="1" applyFill="1" applyBorder="1" applyAlignment="1">
      <alignment horizontal="center" vertical="center" wrapText="1"/>
    </xf>
    <xf numFmtId="0" fontId="60" fillId="0" borderId="0" xfId="1143" applyAlignment="1">
      <alignment horizontal="left" vertical="justify" wrapText="1"/>
    </xf>
    <xf numFmtId="0" fontId="60" fillId="0" borderId="0" xfId="1143" applyAlignment="1">
      <alignment horizontal="left" vertical="top" wrapText="1"/>
    </xf>
    <xf numFmtId="0" fontId="16" fillId="45" borderId="10" xfId="1143" applyFont="1" applyFill="1" applyBorder="1" applyAlignment="1">
      <alignment horizontal="center" vertical="center" wrapText="1"/>
    </xf>
    <xf numFmtId="0" fontId="60" fillId="0" borderId="47" xfId="1143" applyBorder="1" applyAlignment="1">
      <alignment horizontal="center" vertical="center"/>
    </xf>
    <xf numFmtId="0" fontId="60" fillId="0" borderId="10" xfId="1143" applyBorder="1" applyAlignment="1">
      <alignment horizontal="center" vertical="center"/>
    </xf>
    <xf numFmtId="0" fontId="65" fillId="36" borderId="40" xfId="1143" applyFont="1" applyFill="1" applyBorder="1" applyAlignment="1">
      <alignment horizontal="left" vertical="center"/>
    </xf>
    <xf numFmtId="0" fontId="65" fillId="36" borderId="48" xfId="1143" applyFont="1" applyFill="1" applyBorder="1" applyAlignment="1">
      <alignment horizontal="left" vertical="center"/>
    </xf>
    <xf numFmtId="0" fontId="65" fillId="36" borderId="54" xfId="1143" applyFont="1" applyFill="1" applyBorder="1" applyAlignment="1">
      <alignment horizontal="left" vertical="center"/>
    </xf>
    <xf numFmtId="0" fontId="62" fillId="36" borderId="48" xfId="1143" applyFont="1" applyFill="1" applyBorder="1" applyAlignment="1">
      <alignment horizontal="left" vertical="center"/>
    </xf>
    <xf numFmtId="0" fontId="60" fillId="0" borderId="92" xfId="1143" applyBorder="1" applyAlignment="1">
      <alignment horizontal="left" vertical="center"/>
    </xf>
    <xf numFmtId="0" fontId="60" fillId="0" borderId="94" xfId="1143" applyBorder="1" applyAlignment="1">
      <alignment horizontal="center" vertical="center"/>
    </xf>
    <xf numFmtId="0" fontId="60" fillId="0" borderId="15" xfId="1143" applyBorder="1" applyAlignment="1">
      <alignment horizontal="left" vertical="center"/>
    </xf>
    <xf numFmtId="0" fontId="65" fillId="36" borderId="91" xfId="1143" applyFont="1" applyFill="1" applyBorder="1" applyAlignment="1">
      <alignment horizontal="left" vertical="center"/>
    </xf>
    <xf numFmtId="0" fontId="65" fillId="36" borderId="38" xfId="1143" applyFont="1" applyFill="1" applyBorder="1" applyAlignment="1">
      <alignment horizontal="left" vertical="center"/>
    </xf>
    <xf numFmtId="0" fontId="65" fillId="36" borderId="92" xfId="1143" applyFont="1" applyFill="1" applyBorder="1" applyAlignment="1">
      <alignment horizontal="left" vertical="center"/>
    </xf>
    <xf numFmtId="0" fontId="65" fillId="27" borderId="91" xfId="1143" applyFont="1" applyFill="1" applyBorder="1" applyAlignment="1">
      <alignment horizontal="center" vertical="center"/>
    </xf>
    <xf numFmtId="0" fontId="60" fillId="0" borderId="38" xfId="1143" applyBorder="1" applyAlignment="1">
      <alignment horizontal="center" vertical="center"/>
    </xf>
    <xf numFmtId="0" fontId="60" fillId="0" borderId="92" xfId="1143" applyBorder="1" applyAlignment="1">
      <alignment vertical="center"/>
    </xf>
    <xf numFmtId="0" fontId="62" fillId="0" borderId="32" xfId="1143" applyFont="1" applyBorder="1" applyAlignment="1">
      <alignment horizontal="center" vertical="center"/>
    </xf>
    <xf numFmtId="0" fontId="62" fillId="0" borderId="42" xfId="1143" applyFont="1" applyBorder="1" applyAlignment="1">
      <alignment horizontal="center" vertical="center"/>
    </xf>
    <xf numFmtId="0" fontId="49" fillId="66" borderId="40" xfId="1143" applyFont="1" applyFill="1" applyBorder="1" applyAlignment="1">
      <alignment horizontal="center" vertical="center" wrapText="1"/>
    </xf>
    <xf numFmtId="0" fontId="60" fillId="0" borderId="54" xfId="1143" applyBorder="1" applyAlignment="1">
      <alignment horizontal="center" vertical="center" wrapText="1"/>
    </xf>
    <xf numFmtId="0" fontId="62" fillId="28" borderId="40" xfId="1143" applyFont="1" applyFill="1" applyBorder="1" applyAlignment="1">
      <alignment horizontal="center" vertical="center" wrapText="1"/>
    </xf>
    <xf numFmtId="0" fontId="60" fillId="0" borderId="48" xfId="1143" applyBorder="1" applyAlignment="1">
      <alignment horizontal="center" vertical="center" wrapText="1"/>
    </xf>
    <xf numFmtId="0" fontId="60" fillId="0" borderId="11" xfId="1143" applyBorder="1" applyAlignment="1">
      <alignment horizontal="center" vertical="center"/>
    </xf>
    <xf numFmtId="0" fontId="65" fillId="36" borderId="40" xfId="1143" applyFont="1" applyFill="1" applyBorder="1" applyAlignment="1">
      <alignment horizontal="center" vertical="center"/>
    </xf>
    <xf numFmtId="0" fontId="60" fillId="0" borderId="48" xfId="1143" applyBorder="1" applyAlignment="1">
      <alignment horizontal="center" vertical="center"/>
    </xf>
    <xf numFmtId="0" fontId="60" fillId="0" borderId="54" xfId="1143" applyBorder="1" applyAlignment="1">
      <alignment horizontal="center" vertical="center"/>
    </xf>
  </cellXfs>
  <cellStyles count="1171">
    <cellStyle name="20 % - Akzent2 2" xfId="1" xr:uid="{00000000-0005-0000-0000-000001000000}"/>
    <cellStyle name="20 % - Akzent2 2 2" xfId="2" xr:uid="{00000000-0005-0000-0000-000002000000}"/>
    <cellStyle name="20% - Akzent1" xfId="3" xr:uid="{00000000-0005-0000-0000-000003000000}"/>
    <cellStyle name="20% - Akzent1 2" xfId="4" xr:uid="{00000000-0005-0000-0000-000004000000}"/>
    <cellStyle name="20% - Akzent1 3" xfId="5" xr:uid="{00000000-0005-0000-0000-000005000000}"/>
    <cellStyle name="20% - Akzent2" xfId="145" xr:uid="{00000000-0005-0000-0000-000006000000}"/>
    <cellStyle name="20% - Akzent2 2" xfId="6" xr:uid="{00000000-0005-0000-0000-000007000000}"/>
    <cellStyle name="20% - Akzent2 2 2" xfId="7" xr:uid="{00000000-0005-0000-0000-000008000000}"/>
    <cellStyle name="20% - Akzent2 2 3" xfId="8" xr:uid="{00000000-0005-0000-0000-000009000000}"/>
    <cellStyle name="20% - Akzent2 3" xfId="9" xr:uid="{00000000-0005-0000-0000-00000A000000}"/>
    <cellStyle name="20% - Akzent2 4" xfId="1152" xr:uid="{14FA9DC4-E2C2-4AF0-97BF-BECE652A2599}"/>
    <cellStyle name="20% - Akzent3" xfId="10" xr:uid="{00000000-0005-0000-0000-00000B000000}"/>
    <cellStyle name="20% - Akzent3 2" xfId="11" xr:uid="{00000000-0005-0000-0000-00000C000000}"/>
    <cellStyle name="20% - Akzent3 3" xfId="12" xr:uid="{00000000-0005-0000-0000-00000D000000}"/>
    <cellStyle name="20% - Akzent4" xfId="13" xr:uid="{00000000-0005-0000-0000-00000E000000}"/>
    <cellStyle name="20% - Akzent4 2" xfId="14" xr:uid="{00000000-0005-0000-0000-00000F000000}"/>
    <cellStyle name="20% - Akzent4 3" xfId="15" xr:uid="{00000000-0005-0000-0000-000010000000}"/>
    <cellStyle name="20% - Akzent5" xfId="16" xr:uid="{00000000-0005-0000-0000-000011000000}"/>
    <cellStyle name="20% - Akzent5 2" xfId="17" xr:uid="{00000000-0005-0000-0000-000012000000}"/>
    <cellStyle name="20% - Akzent5 3" xfId="18" xr:uid="{00000000-0005-0000-0000-000013000000}"/>
    <cellStyle name="20% - Akzent6" xfId="19" xr:uid="{00000000-0005-0000-0000-000014000000}"/>
    <cellStyle name="20% - Akzent6 2" xfId="20" xr:uid="{00000000-0005-0000-0000-000015000000}"/>
    <cellStyle name="20% - Akzent6 3" xfId="21" xr:uid="{00000000-0005-0000-0000-000016000000}"/>
    <cellStyle name="40% - Akzent1" xfId="22" xr:uid="{00000000-0005-0000-0000-000017000000}"/>
    <cellStyle name="40% - Akzent1 2" xfId="23" xr:uid="{00000000-0005-0000-0000-000018000000}"/>
    <cellStyle name="40% - Akzent1 3" xfId="24" xr:uid="{00000000-0005-0000-0000-000019000000}"/>
    <cellStyle name="40% - Akzent2" xfId="25" xr:uid="{00000000-0005-0000-0000-00001A000000}"/>
    <cellStyle name="40% - Akzent2 2" xfId="26" xr:uid="{00000000-0005-0000-0000-00001B000000}"/>
    <cellStyle name="40% - Akzent2 3" xfId="27" xr:uid="{00000000-0005-0000-0000-00001C000000}"/>
    <cellStyle name="40% - Akzent3" xfId="28" xr:uid="{00000000-0005-0000-0000-00001D000000}"/>
    <cellStyle name="40% - Akzent3 2" xfId="29" xr:uid="{00000000-0005-0000-0000-00001E000000}"/>
    <cellStyle name="40% - Akzent3 3" xfId="30" xr:uid="{00000000-0005-0000-0000-00001F000000}"/>
    <cellStyle name="40% - Akzent4" xfId="31" xr:uid="{00000000-0005-0000-0000-000020000000}"/>
    <cellStyle name="40% - Akzent4 2" xfId="32" xr:uid="{00000000-0005-0000-0000-000021000000}"/>
    <cellStyle name="40% - Akzent4 3" xfId="33" xr:uid="{00000000-0005-0000-0000-000022000000}"/>
    <cellStyle name="40% - Akzent5" xfId="34" xr:uid="{00000000-0005-0000-0000-000023000000}"/>
    <cellStyle name="40% - Akzent5 2" xfId="35" xr:uid="{00000000-0005-0000-0000-000024000000}"/>
    <cellStyle name="40% - Akzent5 3" xfId="36" xr:uid="{00000000-0005-0000-0000-000025000000}"/>
    <cellStyle name="40% - Akzent6" xfId="37" xr:uid="{00000000-0005-0000-0000-000026000000}"/>
    <cellStyle name="40% - Akzent6 2" xfId="38" xr:uid="{00000000-0005-0000-0000-000027000000}"/>
    <cellStyle name="40% - Akzent6 3" xfId="39" xr:uid="{00000000-0005-0000-0000-000028000000}"/>
    <cellStyle name="60% - Akzent1" xfId="40" xr:uid="{00000000-0005-0000-0000-000029000000}"/>
    <cellStyle name="60% - Akzent2" xfId="41" xr:uid="{00000000-0005-0000-0000-00002A000000}"/>
    <cellStyle name="60% - Akzent3" xfId="42" xr:uid="{00000000-0005-0000-0000-00002B000000}"/>
    <cellStyle name="60% - Akzent4" xfId="43" xr:uid="{00000000-0005-0000-0000-00002C000000}"/>
    <cellStyle name="60% - Akzent5" xfId="44" xr:uid="{00000000-0005-0000-0000-00002D000000}"/>
    <cellStyle name="60% - Akzent6" xfId="45" xr:uid="{00000000-0005-0000-0000-00002E000000}"/>
    <cellStyle name="Akzent1" xfId="46" xr:uid="{00000000-0005-0000-0000-00002F000000}"/>
    <cellStyle name="Akzent1 2" xfId="47" xr:uid="{00000000-0005-0000-0000-000030000000}"/>
    <cellStyle name="Akzent1 3" xfId="632" xr:uid="{00000000-0005-0000-0000-000031000000}"/>
    <cellStyle name="Akzent2" xfId="48" xr:uid="{00000000-0005-0000-0000-000032000000}"/>
    <cellStyle name="Akzent2 2" xfId="49" xr:uid="{00000000-0005-0000-0000-000033000000}"/>
    <cellStyle name="Akzent2 3" xfId="633" xr:uid="{00000000-0005-0000-0000-000034000000}"/>
    <cellStyle name="Akzent3" xfId="50" xr:uid="{00000000-0005-0000-0000-000035000000}"/>
    <cellStyle name="Akzent3 2" xfId="51" xr:uid="{00000000-0005-0000-0000-000036000000}"/>
    <cellStyle name="Akzent3 3" xfId="634" xr:uid="{00000000-0005-0000-0000-000037000000}"/>
    <cellStyle name="Akzent4" xfId="52" xr:uid="{00000000-0005-0000-0000-000038000000}"/>
    <cellStyle name="Akzent4 2" xfId="53" xr:uid="{00000000-0005-0000-0000-000039000000}"/>
    <cellStyle name="Akzent4 3" xfId="635" xr:uid="{00000000-0005-0000-0000-00003A000000}"/>
    <cellStyle name="Akzent5" xfId="54" xr:uid="{00000000-0005-0000-0000-00003B000000}"/>
    <cellStyle name="Akzent5 2" xfId="55" xr:uid="{00000000-0005-0000-0000-00003C000000}"/>
    <cellStyle name="Akzent5 3" xfId="636" xr:uid="{00000000-0005-0000-0000-00003D000000}"/>
    <cellStyle name="Akzent6" xfId="56" xr:uid="{00000000-0005-0000-0000-00003E000000}"/>
    <cellStyle name="Akzent6 2" xfId="57" xr:uid="{00000000-0005-0000-0000-00003F000000}"/>
    <cellStyle name="Akzent6 3" xfId="637" xr:uid="{00000000-0005-0000-0000-000040000000}"/>
    <cellStyle name="Ausgabe" xfId="58" xr:uid="{00000000-0005-0000-0000-000041000000}"/>
    <cellStyle name="Ausgabe 2" xfId="59" xr:uid="{00000000-0005-0000-0000-000042000000}"/>
    <cellStyle name="Ausgabe 3" xfId="60" xr:uid="{00000000-0005-0000-0000-000043000000}"/>
    <cellStyle name="Ausgabe 4" xfId="638" xr:uid="{00000000-0005-0000-0000-000044000000}"/>
    <cellStyle name="Berechnung" xfId="61" xr:uid="{00000000-0005-0000-0000-000045000000}"/>
    <cellStyle name="Berechnung 2" xfId="62" xr:uid="{00000000-0005-0000-0000-000046000000}"/>
    <cellStyle name="Berechnung 3" xfId="639" xr:uid="{00000000-0005-0000-0000-000047000000}"/>
    <cellStyle name="Dezimal 2" xfId="63" xr:uid="{00000000-0005-0000-0000-000048000000}"/>
    <cellStyle name="Dezimal 2 10" xfId="897" xr:uid="{00000000-0005-0000-0000-000049000000}"/>
    <cellStyle name="Dezimal 2 2" xfId="64" xr:uid="{00000000-0005-0000-0000-00004A000000}"/>
    <cellStyle name="Dezimal 2 2 2" xfId="65" xr:uid="{00000000-0005-0000-0000-00004B000000}"/>
    <cellStyle name="Dezimal 2 2 2 2" xfId="148" xr:uid="{00000000-0005-0000-0000-00004C000000}"/>
    <cellStyle name="Dezimal 2 2 2 2 2" xfId="229" xr:uid="{00000000-0005-0000-0000-00004D000000}"/>
    <cellStyle name="Dezimal 2 2 2 2 2 2" xfId="592" xr:uid="{00000000-0005-0000-0000-00004E000000}"/>
    <cellStyle name="Dezimal 2 2 2 2 2 3" xfId="859" xr:uid="{00000000-0005-0000-0000-00004F000000}"/>
    <cellStyle name="Dezimal 2 2 2 2 2 4" xfId="1103" xr:uid="{00000000-0005-0000-0000-000050000000}"/>
    <cellStyle name="Dezimal 2 2 2 2 3" xfId="350" xr:uid="{00000000-0005-0000-0000-000051000000}"/>
    <cellStyle name="Dezimal 2 2 2 2 4" xfId="471" xr:uid="{00000000-0005-0000-0000-000052000000}"/>
    <cellStyle name="Dezimal 2 2 2 2 5" xfId="738" xr:uid="{00000000-0005-0000-0000-000053000000}"/>
    <cellStyle name="Dezimal 2 2 2 2 6" xfId="982" xr:uid="{00000000-0005-0000-0000-000054000000}"/>
    <cellStyle name="Dezimal 2 2 2 3" xfId="186" xr:uid="{00000000-0005-0000-0000-000055000000}"/>
    <cellStyle name="Dezimal 2 2 2 3 2" xfId="309" xr:uid="{00000000-0005-0000-0000-000056000000}"/>
    <cellStyle name="Dezimal 2 2 2 3 2 2" xfId="551" xr:uid="{00000000-0005-0000-0000-000057000000}"/>
    <cellStyle name="Dezimal 2 2 2 3 2 3" xfId="818" xr:uid="{00000000-0005-0000-0000-000058000000}"/>
    <cellStyle name="Dezimal 2 2 2 3 2 4" xfId="1062" xr:uid="{00000000-0005-0000-0000-000059000000}"/>
    <cellStyle name="Dezimal 2 2 2 3 3" xfId="430" xr:uid="{00000000-0005-0000-0000-00005A000000}"/>
    <cellStyle name="Dezimal 2 2 2 3 4" xfId="697" xr:uid="{00000000-0005-0000-0000-00005B000000}"/>
    <cellStyle name="Dezimal 2 2 2 3 5" xfId="941" xr:uid="{00000000-0005-0000-0000-00005C000000}"/>
    <cellStyle name="Dezimal 2 2 2 4" xfId="269" xr:uid="{00000000-0005-0000-0000-00005D000000}"/>
    <cellStyle name="Dezimal 2 2 2 4 2" xfId="511" xr:uid="{00000000-0005-0000-0000-00005E000000}"/>
    <cellStyle name="Dezimal 2 2 2 4 3" xfId="778" xr:uid="{00000000-0005-0000-0000-00005F000000}"/>
    <cellStyle name="Dezimal 2 2 2 4 4" xfId="1022" xr:uid="{00000000-0005-0000-0000-000060000000}"/>
    <cellStyle name="Dezimal 2 2 2 5" xfId="390" xr:uid="{00000000-0005-0000-0000-000061000000}"/>
    <cellStyle name="Dezimal 2 2 2 6" xfId="642" xr:uid="{00000000-0005-0000-0000-000062000000}"/>
    <cellStyle name="Dezimal 2 2 2 7" xfId="899" xr:uid="{00000000-0005-0000-0000-000063000000}"/>
    <cellStyle name="Dezimal 2 2 3" xfId="147" xr:uid="{00000000-0005-0000-0000-000064000000}"/>
    <cellStyle name="Dezimal 2 2 3 2" xfId="228" xr:uid="{00000000-0005-0000-0000-000065000000}"/>
    <cellStyle name="Dezimal 2 2 3 2 2" xfId="591" xr:uid="{00000000-0005-0000-0000-000066000000}"/>
    <cellStyle name="Dezimal 2 2 3 2 3" xfId="858" xr:uid="{00000000-0005-0000-0000-000067000000}"/>
    <cellStyle name="Dezimal 2 2 3 2 4" xfId="1102" xr:uid="{00000000-0005-0000-0000-000068000000}"/>
    <cellStyle name="Dezimal 2 2 3 3" xfId="349" xr:uid="{00000000-0005-0000-0000-000069000000}"/>
    <cellStyle name="Dezimal 2 2 3 4" xfId="470" xr:uid="{00000000-0005-0000-0000-00006A000000}"/>
    <cellStyle name="Dezimal 2 2 3 5" xfId="737" xr:uid="{00000000-0005-0000-0000-00006B000000}"/>
    <cellStyle name="Dezimal 2 2 3 6" xfId="981" xr:uid="{00000000-0005-0000-0000-00006C000000}"/>
    <cellStyle name="Dezimal 2 2 4" xfId="187" xr:uid="{00000000-0005-0000-0000-00006D000000}"/>
    <cellStyle name="Dezimal 2 2 4 2" xfId="308" xr:uid="{00000000-0005-0000-0000-00006E000000}"/>
    <cellStyle name="Dezimal 2 2 4 2 2" xfId="550" xr:uid="{00000000-0005-0000-0000-00006F000000}"/>
    <cellStyle name="Dezimal 2 2 4 2 3" xfId="817" xr:uid="{00000000-0005-0000-0000-000070000000}"/>
    <cellStyle name="Dezimal 2 2 4 2 4" xfId="1061" xr:uid="{00000000-0005-0000-0000-000071000000}"/>
    <cellStyle name="Dezimal 2 2 4 3" xfId="429" xr:uid="{00000000-0005-0000-0000-000072000000}"/>
    <cellStyle name="Dezimal 2 2 4 4" xfId="696" xr:uid="{00000000-0005-0000-0000-000073000000}"/>
    <cellStyle name="Dezimal 2 2 4 5" xfId="940" xr:uid="{00000000-0005-0000-0000-000074000000}"/>
    <cellStyle name="Dezimal 2 2 5" xfId="268" xr:uid="{00000000-0005-0000-0000-000075000000}"/>
    <cellStyle name="Dezimal 2 2 5 2" xfId="510" xr:uid="{00000000-0005-0000-0000-000076000000}"/>
    <cellStyle name="Dezimal 2 2 5 3" xfId="777" xr:uid="{00000000-0005-0000-0000-000077000000}"/>
    <cellStyle name="Dezimal 2 2 5 4" xfId="1021" xr:uid="{00000000-0005-0000-0000-000078000000}"/>
    <cellStyle name="Dezimal 2 2 6" xfId="389" xr:uid="{00000000-0005-0000-0000-000079000000}"/>
    <cellStyle name="Dezimal 2 2 7" xfId="641" xr:uid="{00000000-0005-0000-0000-00007A000000}"/>
    <cellStyle name="Dezimal 2 2 8" xfId="898" xr:uid="{00000000-0005-0000-0000-00007B000000}"/>
    <cellStyle name="Dezimal 2 3" xfId="66" xr:uid="{00000000-0005-0000-0000-00007C000000}"/>
    <cellStyle name="Dezimal 2 3 2" xfId="149" xr:uid="{00000000-0005-0000-0000-00007D000000}"/>
    <cellStyle name="Dezimal 2 3 2 2" xfId="230" xr:uid="{00000000-0005-0000-0000-00007E000000}"/>
    <cellStyle name="Dezimal 2 3 2 2 2" xfId="593" xr:uid="{00000000-0005-0000-0000-00007F000000}"/>
    <cellStyle name="Dezimal 2 3 2 2 3" xfId="860" xr:uid="{00000000-0005-0000-0000-000080000000}"/>
    <cellStyle name="Dezimal 2 3 2 2 4" xfId="1104" xr:uid="{00000000-0005-0000-0000-000081000000}"/>
    <cellStyle name="Dezimal 2 3 2 3" xfId="351" xr:uid="{00000000-0005-0000-0000-000082000000}"/>
    <cellStyle name="Dezimal 2 3 2 4" xfId="472" xr:uid="{00000000-0005-0000-0000-000083000000}"/>
    <cellStyle name="Dezimal 2 3 2 5" xfId="739" xr:uid="{00000000-0005-0000-0000-000084000000}"/>
    <cellStyle name="Dezimal 2 3 2 6" xfId="983" xr:uid="{00000000-0005-0000-0000-000085000000}"/>
    <cellStyle name="Dezimal 2 3 3" xfId="188" xr:uid="{00000000-0005-0000-0000-000086000000}"/>
    <cellStyle name="Dezimal 2 3 3 2" xfId="310" xr:uid="{00000000-0005-0000-0000-000087000000}"/>
    <cellStyle name="Dezimal 2 3 3 2 2" xfId="552" xr:uid="{00000000-0005-0000-0000-000088000000}"/>
    <cellStyle name="Dezimal 2 3 3 2 3" xfId="819" xr:uid="{00000000-0005-0000-0000-000089000000}"/>
    <cellStyle name="Dezimal 2 3 3 2 4" xfId="1063" xr:uid="{00000000-0005-0000-0000-00008A000000}"/>
    <cellStyle name="Dezimal 2 3 3 3" xfId="431" xr:uid="{00000000-0005-0000-0000-00008B000000}"/>
    <cellStyle name="Dezimal 2 3 3 4" xfId="698" xr:uid="{00000000-0005-0000-0000-00008C000000}"/>
    <cellStyle name="Dezimal 2 3 3 5" xfId="942" xr:uid="{00000000-0005-0000-0000-00008D000000}"/>
    <cellStyle name="Dezimal 2 3 4" xfId="270" xr:uid="{00000000-0005-0000-0000-00008E000000}"/>
    <cellStyle name="Dezimal 2 3 4 2" xfId="512" xr:uid="{00000000-0005-0000-0000-00008F000000}"/>
    <cellStyle name="Dezimal 2 3 4 3" xfId="779" xr:uid="{00000000-0005-0000-0000-000090000000}"/>
    <cellStyle name="Dezimal 2 3 4 4" xfId="1023" xr:uid="{00000000-0005-0000-0000-000091000000}"/>
    <cellStyle name="Dezimal 2 3 5" xfId="391" xr:uid="{00000000-0005-0000-0000-000092000000}"/>
    <cellStyle name="Dezimal 2 3 6" xfId="643" xr:uid="{00000000-0005-0000-0000-000093000000}"/>
    <cellStyle name="Dezimal 2 3 7" xfId="900" xr:uid="{00000000-0005-0000-0000-000094000000}"/>
    <cellStyle name="Dezimal 2 4" xfId="67" xr:uid="{00000000-0005-0000-0000-000095000000}"/>
    <cellStyle name="Dezimal 2 4 2" xfId="150" xr:uid="{00000000-0005-0000-0000-000096000000}"/>
    <cellStyle name="Dezimal 2 4 2 2" xfId="231" xr:uid="{00000000-0005-0000-0000-000097000000}"/>
    <cellStyle name="Dezimal 2 4 2 2 2" xfId="594" xr:uid="{00000000-0005-0000-0000-000098000000}"/>
    <cellStyle name="Dezimal 2 4 2 2 3" xfId="861" xr:uid="{00000000-0005-0000-0000-000099000000}"/>
    <cellStyle name="Dezimal 2 4 2 2 4" xfId="1105" xr:uid="{00000000-0005-0000-0000-00009A000000}"/>
    <cellStyle name="Dezimal 2 4 2 3" xfId="352" xr:uid="{00000000-0005-0000-0000-00009B000000}"/>
    <cellStyle name="Dezimal 2 4 2 4" xfId="473" xr:uid="{00000000-0005-0000-0000-00009C000000}"/>
    <cellStyle name="Dezimal 2 4 2 5" xfId="740" xr:uid="{00000000-0005-0000-0000-00009D000000}"/>
    <cellStyle name="Dezimal 2 4 2 6" xfId="984" xr:uid="{00000000-0005-0000-0000-00009E000000}"/>
    <cellStyle name="Dezimal 2 4 3" xfId="189" xr:uid="{00000000-0005-0000-0000-00009F000000}"/>
    <cellStyle name="Dezimal 2 4 3 2" xfId="311" xr:uid="{00000000-0005-0000-0000-0000A0000000}"/>
    <cellStyle name="Dezimal 2 4 3 2 2" xfId="553" xr:uid="{00000000-0005-0000-0000-0000A1000000}"/>
    <cellStyle name="Dezimal 2 4 3 2 3" xfId="820" xr:uid="{00000000-0005-0000-0000-0000A2000000}"/>
    <cellStyle name="Dezimal 2 4 3 2 4" xfId="1064" xr:uid="{00000000-0005-0000-0000-0000A3000000}"/>
    <cellStyle name="Dezimal 2 4 3 3" xfId="432" xr:uid="{00000000-0005-0000-0000-0000A4000000}"/>
    <cellStyle name="Dezimal 2 4 3 4" xfId="699" xr:uid="{00000000-0005-0000-0000-0000A5000000}"/>
    <cellStyle name="Dezimal 2 4 3 5" xfId="943" xr:uid="{00000000-0005-0000-0000-0000A6000000}"/>
    <cellStyle name="Dezimal 2 4 4" xfId="271" xr:uid="{00000000-0005-0000-0000-0000A7000000}"/>
    <cellStyle name="Dezimal 2 4 4 2" xfId="513" xr:uid="{00000000-0005-0000-0000-0000A8000000}"/>
    <cellStyle name="Dezimal 2 4 4 3" xfId="780" xr:uid="{00000000-0005-0000-0000-0000A9000000}"/>
    <cellStyle name="Dezimal 2 4 4 4" xfId="1024" xr:uid="{00000000-0005-0000-0000-0000AA000000}"/>
    <cellStyle name="Dezimal 2 4 5" xfId="392" xr:uid="{00000000-0005-0000-0000-0000AB000000}"/>
    <cellStyle name="Dezimal 2 4 6" xfId="644" xr:uid="{00000000-0005-0000-0000-0000AC000000}"/>
    <cellStyle name="Dezimal 2 4 7" xfId="901" xr:uid="{00000000-0005-0000-0000-0000AD000000}"/>
    <cellStyle name="Dezimal 2 5" xfId="146" xr:uid="{00000000-0005-0000-0000-0000AE000000}"/>
    <cellStyle name="Dezimal 2 5 2" xfId="227" xr:uid="{00000000-0005-0000-0000-0000AF000000}"/>
    <cellStyle name="Dezimal 2 5 2 2" xfId="590" xr:uid="{00000000-0005-0000-0000-0000B0000000}"/>
    <cellStyle name="Dezimal 2 5 2 3" xfId="857" xr:uid="{00000000-0005-0000-0000-0000B1000000}"/>
    <cellStyle name="Dezimal 2 5 2 4" xfId="1101" xr:uid="{00000000-0005-0000-0000-0000B2000000}"/>
    <cellStyle name="Dezimal 2 5 3" xfId="348" xr:uid="{00000000-0005-0000-0000-0000B3000000}"/>
    <cellStyle name="Dezimal 2 5 4" xfId="469" xr:uid="{00000000-0005-0000-0000-0000B4000000}"/>
    <cellStyle name="Dezimal 2 5 5" xfId="736" xr:uid="{00000000-0005-0000-0000-0000B5000000}"/>
    <cellStyle name="Dezimal 2 5 6" xfId="980" xr:uid="{00000000-0005-0000-0000-0000B6000000}"/>
    <cellStyle name="Dezimal 2 6" xfId="190" xr:uid="{00000000-0005-0000-0000-0000B7000000}"/>
    <cellStyle name="Dezimal 2 6 2" xfId="307" xr:uid="{00000000-0005-0000-0000-0000B8000000}"/>
    <cellStyle name="Dezimal 2 6 2 2" xfId="549" xr:uid="{00000000-0005-0000-0000-0000B9000000}"/>
    <cellStyle name="Dezimal 2 6 2 3" xfId="816" xr:uid="{00000000-0005-0000-0000-0000BA000000}"/>
    <cellStyle name="Dezimal 2 6 2 4" xfId="1060" xr:uid="{00000000-0005-0000-0000-0000BB000000}"/>
    <cellStyle name="Dezimal 2 6 3" xfId="428" xr:uid="{00000000-0005-0000-0000-0000BC000000}"/>
    <cellStyle name="Dezimal 2 6 4" xfId="695" xr:uid="{00000000-0005-0000-0000-0000BD000000}"/>
    <cellStyle name="Dezimal 2 6 5" xfId="939" xr:uid="{00000000-0005-0000-0000-0000BE000000}"/>
    <cellStyle name="Dezimal 2 7" xfId="267" xr:uid="{00000000-0005-0000-0000-0000BF000000}"/>
    <cellStyle name="Dezimal 2 7 2" xfId="509" xr:uid="{00000000-0005-0000-0000-0000C0000000}"/>
    <cellStyle name="Dezimal 2 7 3" xfId="776" xr:uid="{00000000-0005-0000-0000-0000C1000000}"/>
    <cellStyle name="Dezimal 2 7 4" xfId="1020" xr:uid="{00000000-0005-0000-0000-0000C2000000}"/>
    <cellStyle name="Dezimal 2 8" xfId="388" xr:uid="{00000000-0005-0000-0000-0000C3000000}"/>
    <cellStyle name="Dezimal 2 9" xfId="640" xr:uid="{00000000-0005-0000-0000-0000C4000000}"/>
    <cellStyle name="Eingabe" xfId="68" xr:uid="{00000000-0005-0000-0000-0000C5000000}"/>
    <cellStyle name="Eingabe 10" xfId="69" xr:uid="{00000000-0005-0000-0000-0000C6000000}"/>
    <cellStyle name="Eingabe 11" xfId="645" xr:uid="{00000000-0005-0000-0000-0000C7000000}"/>
    <cellStyle name="Eingabe 2" xfId="70" xr:uid="{00000000-0005-0000-0000-0000C8000000}"/>
    <cellStyle name="Eingabe 2_2010-12-07 Kriterien Sanierung Verwaltung Schule Sozial" xfId="71" xr:uid="{00000000-0005-0000-0000-0000C9000000}"/>
    <cellStyle name="Eingabe 2_2010-12-07 Kriterien Sanierung Verwaltung Schule Sozial 2" xfId="1144" xr:uid="{D628A2A8-B417-4493-8B10-4A7DE6E27915}"/>
    <cellStyle name="Eingabe 2_2010-12-07 Kriterien Sanierung Verwaltung Schule Sozial 2 2" xfId="1165" xr:uid="{1DEB5D33-9702-4CFD-9DCD-3A402D6F06B7}"/>
    <cellStyle name="Eingabe 2_2010-12-07 Kriterien Sanierung Verwaltung Schule Sozial 3" xfId="1156" xr:uid="{CF5EE39C-D38F-43E5-BB7A-41D2FC06FDAC}"/>
    <cellStyle name="Eingabe 2_2010-12-07 Kriterien Sanierung Verwaltung Schule Sozial 4" xfId="1166" xr:uid="{7E147A0D-E5FB-4211-88C5-1B995D3F2ED0}"/>
    <cellStyle name="Eingabe 3" xfId="72" xr:uid="{00000000-0005-0000-0000-0000CA000000}"/>
    <cellStyle name="Eingabe 3 2" xfId="1151" xr:uid="{F4A77738-C745-4869-858E-C2D01E6285F3}"/>
    <cellStyle name="Eingabe 4" xfId="73" xr:uid="{00000000-0005-0000-0000-0000CB000000}"/>
    <cellStyle name="Eingabe 5" xfId="74" xr:uid="{00000000-0005-0000-0000-0000CC000000}"/>
    <cellStyle name="Eingabe 6" xfId="75" xr:uid="{00000000-0005-0000-0000-0000CD000000}"/>
    <cellStyle name="Eingabe 7" xfId="76" xr:uid="{00000000-0005-0000-0000-0000CE000000}"/>
    <cellStyle name="Eingabe 8" xfId="77" xr:uid="{00000000-0005-0000-0000-0000CF000000}"/>
    <cellStyle name="Eingabe 9" xfId="78" xr:uid="{00000000-0005-0000-0000-0000D0000000}"/>
    <cellStyle name="Ergebnis" xfId="79" xr:uid="{00000000-0005-0000-0000-0000D1000000}"/>
    <cellStyle name="Ergebnis 2" xfId="80" xr:uid="{00000000-0005-0000-0000-0000D2000000}"/>
    <cellStyle name="Ergebnis 3" xfId="646" xr:uid="{00000000-0005-0000-0000-0000D3000000}"/>
    <cellStyle name="Erklärender Text" xfId="81" xr:uid="{00000000-0005-0000-0000-0000D4000000}"/>
    <cellStyle name="Erklärender Text 2" xfId="82" xr:uid="{00000000-0005-0000-0000-0000D5000000}"/>
    <cellStyle name="Erklärender Text 3" xfId="647" xr:uid="{00000000-0005-0000-0000-0000D6000000}"/>
    <cellStyle name="Gut" xfId="83" xr:uid="{00000000-0005-0000-0000-0000D7000000}"/>
    <cellStyle name="Gut 2" xfId="84" xr:uid="{00000000-0005-0000-0000-0000D8000000}"/>
    <cellStyle name="Gut 3" xfId="648" xr:uid="{00000000-0005-0000-0000-0000D9000000}"/>
    <cellStyle name="Komma" xfId="85" builtinId="3"/>
    <cellStyle name="Komma 2" xfId="86" xr:uid="{00000000-0005-0000-0000-0000DB000000}"/>
    <cellStyle name="Komma 2 10" xfId="650" xr:uid="{00000000-0005-0000-0000-0000DC000000}"/>
    <cellStyle name="Komma 2 11" xfId="903" xr:uid="{00000000-0005-0000-0000-0000DD000000}"/>
    <cellStyle name="Komma 2 2" xfId="87" xr:uid="{00000000-0005-0000-0000-0000DE000000}"/>
    <cellStyle name="Komma 2 2 2" xfId="88" xr:uid="{00000000-0005-0000-0000-0000DF000000}"/>
    <cellStyle name="Komma 2 2 2 2" xfId="153" xr:uid="{00000000-0005-0000-0000-0000E0000000}"/>
    <cellStyle name="Komma 2 2 2 2 2" xfId="234" xr:uid="{00000000-0005-0000-0000-0000E1000000}"/>
    <cellStyle name="Komma 2 2 2 2 2 2" xfId="597" xr:uid="{00000000-0005-0000-0000-0000E2000000}"/>
    <cellStyle name="Komma 2 2 2 2 2 3" xfId="864" xr:uid="{00000000-0005-0000-0000-0000E3000000}"/>
    <cellStyle name="Komma 2 2 2 2 2 4" xfId="1108" xr:uid="{00000000-0005-0000-0000-0000E4000000}"/>
    <cellStyle name="Komma 2 2 2 2 3" xfId="355" xr:uid="{00000000-0005-0000-0000-0000E5000000}"/>
    <cellStyle name="Komma 2 2 2 2 4" xfId="476" xr:uid="{00000000-0005-0000-0000-0000E6000000}"/>
    <cellStyle name="Komma 2 2 2 2 5" xfId="743" xr:uid="{00000000-0005-0000-0000-0000E7000000}"/>
    <cellStyle name="Komma 2 2 2 2 6" xfId="987" xr:uid="{00000000-0005-0000-0000-0000E8000000}"/>
    <cellStyle name="Komma 2 2 2 3" xfId="191" xr:uid="{00000000-0005-0000-0000-0000E9000000}"/>
    <cellStyle name="Komma 2 2 2 3 2" xfId="314" xr:uid="{00000000-0005-0000-0000-0000EA000000}"/>
    <cellStyle name="Komma 2 2 2 3 2 2" xfId="556" xr:uid="{00000000-0005-0000-0000-0000EB000000}"/>
    <cellStyle name="Komma 2 2 2 3 2 3" xfId="823" xr:uid="{00000000-0005-0000-0000-0000EC000000}"/>
    <cellStyle name="Komma 2 2 2 3 2 4" xfId="1067" xr:uid="{00000000-0005-0000-0000-0000ED000000}"/>
    <cellStyle name="Komma 2 2 2 3 3" xfId="435" xr:uid="{00000000-0005-0000-0000-0000EE000000}"/>
    <cellStyle name="Komma 2 2 2 3 4" xfId="702" xr:uid="{00000000-0005-0000-0000-0000EF000000}"/>
    <cellStyle name="Komma 2 2 2 3 5" xfId="946" xr:uid="{00000000-0005-0000-0000-0000F0000000}"/>
    <cellStyle name="Komma 2 2 2 4" xfId="274" xr:uid="{00000000-0005-0000-0000-0000F1000000}"/>
    <cellStyle name="Komma 2 2 2 4 2" xfId="516" xr:uid="{00000000-0005-0000-0000-0000F2000000}"/>
    <cellStyle name="Komma 2 2 2 4 3" xfId="783" xr:uid="{00000000-0005-0000-0000-0000F3000000}"/>
    <cellStyle name="Komma 2 2 2 4 4" xfId="1027" xr:uid="{00000000-0005-0000-0000-0000F4000000}"/>
    <cellStyle name="Komma 2 2 2 5" xfId="395" xr:uid="{00000000-0005-0000-0000-0000F5000000}"/>
    <cellStyle name="Komma 2 2 2 6" xfId="652" xr:uid="{00000000-0005-0000-0000-0000F6000000}"/>
    <cellStyle name="Komma 2 2 2 7" xfId="905" xr:uid="{00000000-0005-0000-0000-0000F7000000}"/>
    <cellStyle name="Komma 2 2 3" xfId="152" xr:uid="{00000000-0005-0000-0000-0000F8000000}"/>
    <cellStyle name="Komma 2 2 3 2" xfId="233" xr:uid="{00000000-0005-0000-0000-0000F9000000}"/>
    <cellStyle name="Komma 2 2 3 2 2" xfId="596" xr:uid="{00000000-0005-0000-0000-0000FA000000}"/>
    <cellStyle name="Komma 2 2 3 2 3" xfId="863" xr:uid="{00000000-0005-0000-0000-0000FB000000}"/>
    <cellStyle name="Komma 2 2 3 2 4" xfId="1107" xr:uid="{00000000-0005-0000-0000-0000FC000000}"/>
    <cellStyle name="Komma 2 2 3 3" xfId="354" xr:uid="{00000000-0005-0000-0000-0000FD000000}"/>
    <cellStyle name="Komma 2 2 3 4" xfId="475" xr:uid="{00000000-0005-0000-0000-0000FE000000}"/>
    <cellStyle name="Komma 2 2 3 5" xfId="742" xr:uid="{00000000-0005-0000-0000-0000FF000000}"/>
    <cellStyle name="Komma 2 2 3 6" xfId="986" xr:uid="{00000000-0005-0000-0000-000000010000}"/>
    <cellStyle name="Komma 2 2 4" xfId="192" xr:uid="{00000000-0005-0000-0000-000001010000}"/>
    <cellStyle name="Komma 2 2 4 2" xfId="313" xr:uid="{00000000-0005-0000-0000-000002010000}"/>
    <cellStyle name="Komma 2 2 4 2 2" xfId="555" xr:uid="{00000000-0005-0000-0000-000003010000}"/>
    <cellStyle name="Komma 2 2 4 2 3" xfId="822" xr:uid="{00000000-0005-0000-0000-000004010000}"/>
    <cellStyle name="Komma 2 2 4 2 4" xfId="1066" xr:uid="{00000000-0005-0000-0000-000005010000}"/>
    <cellStyle name="Komma 2 2 4 3" xfId="434" xr:uid="{00000000-0005-0000-0000-000006010000}"/>
    <cellStyle name="Komma 2 2 4 4" xfId="701" xr:uid="{00000000-0005-0000-0000-000007010000}"/>
    <cellStyle name="Komma 2 2 4 5" xfId="945" xr:uid="{00000000-0005-0000-0000-000008010000}"/>
    <cellStyle name="Komma 2 2 5" xfId="273" xr:uid="{00000000-0005-0000-0000-000009010000}"/>
    <cellStyle name="Komma 2 2 5 2" xfId="515" xr:uid="{00000000-0005-0000-0000-00000A010000}"/>
    <cellStyle name="Komma 2 2 5 3" xfId="782" xr:uid="{00000000-0005-0000-0000-00000B010000}"/>
    <cellStyle name="Komma 2 2 5 4" xfId="1026" xr:uid="{00000000-0005-0000-0000-00000C010000}"/>
    <cellStyle name="Komma 2 2 6" xfId="394" xr:uid="{00000000-0005-0000-0000-00000D010000}"/>
    <cellStyle name="Komma 2 2 7" xfId="651" xr:uid="{00000000-0005-0000-0000-00000E010000}"/>
    <cellStyle name="Komma 2 2 8" xfId="904" xr:uid="{00000000-0005-0000-0000-00000F010000}"/>
    <cellStyle name="Komma 2 3" xfId="89" xr:uid="{00000000-0005-0000-0000-000010010000}"/>
    <cellStyle name="Komma 2 3 2" xfId="90" xr:uid="{00000000-0005-0000-0000-000011010000}"/>
    <cellStyle name="Komma 2 3 2 2" xfId="155" xr:uid="{00000000-0005-0000-0000-000012010000}"/>
    <cellStyle name="Komma 2 3 2 2 2" xfId="236" xr:uid="{00000000-0005-0000-0000-000013010000}"/>
    <cellStyle name="Komma 2 3 2 2 2 2" xfId="599" xr:uid="{00000000-0005-0000-0000-000014010000}"/>
    <cellStyle name="Komma 2 3 2 2 2 3" xfId="866" xr:uid="{00000000-0005-0000-0000-000015010000}"/>
    <cellStyle name="Komma 2 3 2 2 2 4" xfId="1110" xr:uid="{00000000-0005-0000-0000-000016010000}"/>
    <cellStyle name="Komma 2 3 2 2 3" xfId="357" xr:uid="{00000000-0005-0000-0000-000017010000}"/>
    <cellStyle name="Komma 2 3 2 2 4" xfId="478" xr:uid="{00000000-0005-0000-0000-000018010000}"/>
    <cellStyle name="Komma 2 3 2 2 5" xfId="745" xr:uid="{00000000-0005-0000-0000-000019010000}"/>
    <cellStyle name="Komma 2 3 2 2 6" xfId="989" xr:uid="{00000000-0005-0000-0000-00001A010000}"/>
    <cellStyle name="Komma 2 3 2 3" xfId="193" xr:uid="{00000000-0005-0000-0000-00001B010000}"/>
    <cellStyle name="Komma 2 3 2 3 2" xfId="316" xr:uid="{00000000-0005-0000-0000-00001C010000}"/>
    <cellStyle name="Komma 2 3 2 3 2 2" xfId="558" xr:uid="{00000000-0005-0000-0000-00001D010000}"/>
    <cellStyle name="Komma 2 3 2 3 2 3" xfId="825" xr:uid="{00000000-0005-0000-0000-00001E010000}"/>
    <cellStyle name="Komma 2 3 2 3 2 4" xfId="1069" xr:uid="{00000000-0005-0000-0000-00001F010000}"/>
    <cellStyle name="Komma 2 3 2 3 3" xfId="437" xr:uid="{00000000-0005-0000-0000-000020010000}"/>
    <cellStyle name="Komma 2 3 2 3 4" xfId="704" xr:uid="{00000000-0005-0000-0000-000021010000}"/>
    <cellStyle name="Komma 2 3 2 3 5" xfId="948" xr:uid="{00000000-0005-0000-0000-000022010000}"/>
    <cellStyle name="Komma 2 3 2 4" xfId="276" xr:uid="{00000000-0005-0000-0000-000023010000}"/>
    <cellStyle name="Komma 2 3 2 4 2" xfId="518" xr:uid="{00000000-0005-0000-0000-000024010000}"/>
    <cellStyle name="Komma 2 3 2 4 3" xfId="785" xr:uid="{00000000-0005-0000-0000-000025010000}"/>
    <cellStyle name="Komma 2 3 2 4 4" xfId="1029" xr:uid="{00000000-0005-0000-0000-000026010000}"/>
    <cellStyle name="Komma 2 3 2 5" xfId="397" xr:uid="{00000000-0005-0000-0000-000027010000}"/>
    <cellStyle name="Komma 2 3 2 6" xfId="654" xr:uid="{00000000-0005-0000-0000-000028010000}"/>
    <cellStyle name="Komma 2 3 2 7" xfId="907" xr:uid="{00000000-0005-0000-0000-000029010000}"/>
    <cellStyle name="Komma 2 3 3" xfId="154" xr:uid="{00000000-0005-0000-0000-00002A010000}"/>
    <cellStyle name="Komma 2 3 3 2" xfId="235" xr:uid="{00000000-0005-0000-0000-00002B010000}"/>
    <cellStyle name="Komma 2 3 3 2 2" xfId="598" xr:uid="{00000000-0005-0000-0000-00002C010000}"/>
    <cellStyle name="Komma 2 3 3 2 3" xfId="865" xr:uid="{00000000-0005-0000-0000-00002D010000}"/>
    <cellStyle name="Komma 2 3 3 2 4" xfId="1109" xr:uid="{00000000-0005-0000-0000-00002E010000}"/>
    <cellStyle name="Komma 2 3 3 3" xfId="356" xr:uid="{00000000-0005-0000-0000-00002F010000}"/>
    <cellStyle name="Komma 2 3 3 4" xfId="477" xr:uid="{00000000-0005-0000-0000-000030010000}"/>
    <cellStyle name="Komma 2 3 3 5" xfId="744" xr:uid="{00000000-0005-0000-0000-000031010000}"/>
    <cellStyle name="Komma 2 3 3 6" xfId="988" xr:uid="{00000000-0005-0000-0000-000032010000}"/>
    <cellStyle name="Komma 2 3 4" xfId="194" xr:uid="{00000000-0005-0000-0000-000033010000}"/>
    <cellStyle name="Komma 2 3 4 2" xfId="315" xr:uid="{00000000-0005-0000-0000-000034010000}"/>
    <cellStyle name="Komma 2 3 4 2 2" xfId="557" xr:uid="{00000000-0005-0000-0000-000035010000}"/>
    <cellStyle name="Komma 2 3 4 2 3" xfId="824" xr:uid="{00000000-0005-0000-0000-000036010000}"/>
    <cellStyle name="Komma 2 3 4 2 4" xfId="1068" xr:uid="{00000000-0005-0000-0000-000037010000}"/>
    <cellStyle name="Komma 2 3 4 3" xfId="436" xr:uid="{00000000-0005-0000-0000-000038010000}"/>
    <cellStyle name="Komma 2 3 4 4" xfId="703" xr:uid="{00000000-0005-0000-0000-000039010000}"/>
    <cellStyle name="Komma 2 3 4 5" xfId="947" xr:uid="{00000000-0005-0000-0000-00003A010000}"/>
    <cellStyle name="Komma 2 3 5" xfId="275" xr:uid="{00000000-0005-0000-0000-00003B010000}"/>
    <cellStyle name="Komma 2 3 5 2" xfId="517" xr:uid="{00000000-0005-0000-0000-00003C010000}"/>
    <cellStyle name="Komma 2 3 5 3" xfId="784" xr:uid="{00000000-0005-0000-0000-00003D010000}"/>
    <cellStyle name="Komma 2 3 5 4" xfId="1028" xr:uid="{00000000-0005-0000-0000-00003E010000}"/>
    <cellStyle name="Komma 2 3 6" xfId="396" xr:uid="{00000000-0005-0000-0000-00003F010000}"/>
    <cellStyle name="Komma 2 3 7" xfId="653" xr:uid="{00000000-0005-0000-0000-000040010000}"/>
    <cellStyle name="Komma 2 3 8" xfId="906" xr:uid="{00000000-0005-0000-0000-000041010000}"/>
    <cellStyle name="Komma 2 4" xfId="91" xr:uid="{00000000-0005-0000-0000-000042010000}"/>
    <cellStyle name="Komma 2 4 2" xfId="156" xr:uid="{00000000-0005-0000-0000-000043010000}"/>
    <cellStyle name="Komma 2 4 2 2" xfId="237" xr:uid="{00000000-0005-0000-0000-000044010000}"/>
    <cellStyle name="Komma 2 4 2 2 2" xfId="600" xr:uid="{00000000-0005-0000-0000-000045010000}"/>
    <cellStyle name="Komma 2 4 2 2 3" xfId="867" xr:uid="{00000000-0005-0000-0000-000046010000}"/>
    <cellStyle name="Komma 2 4 2 2 4" xfId="1111" xr:uid="{00000000-0005-0000-0000-000047010000}"/>
    <cellStyle name="Komma 2 4 2 3" xfId="358" xr:uid="{00000000-0005-0000-0000-000048010000}"/>
    <cellStyle name="Komma 2 4 2 4" xfId="479" xr:uid="{00000000-0005-0000-0000-000049010000}"/>
    <cellStyle name="Komma 2 4 2 5" xfId="746" xr:uid="{00000000-0005-0000-0000-00004A010000}"/>
    <cellStyle name="Komma 2 4 2 6" xfId="990" xr:uid="{00000000-0005-0000-0000-00004B010000}"/>
    <cellStyle name="Komma 2 4 3" xfId="195" xr:uid="{00000000-0005-0000-0000-00004C010000}"/>
    <cellStyle name="Komma 2 4 3 2" xfId="317" xr:uid="{00000000-0005-0000-0000-00004D010000}"/>
    <cellStyle name="Komma 2 4 3 2 2" xfId="559" xr:uid="{00000000-0005-0000-0000-00004E010000}"/>
    <cellStyle name="Komma 2 4 3 2 3" xfId="826" xr:uid="{00000000-0005-0000-0000-00004F010000}"/>
    <cellStyle name="Komma 2 4 3 2 4" xfId="1070" xr:uid="{00000000-0005-0000-0000-000050010000}"/>
    <cellStyle name="Komma 2 4 3 3" xfId="438" xr:uid="{00000000-0005-0000-0000-000051010000}"/>
    <cellStyle name="Komma 2 4 3 4" xfId="705" xr:uid="{00000000-0005-0000-0000-000052010000}"/>
    <cellStyle name="Komma 2 4 3 5" xfId="949" xr:uid="{00000000-0005-0000-0000-000053010000}"/>
    <cellStyle name="Komma 2 4 4" xfId="277" xr:uid="{00000000-0005-0000-0000-000054010000}"/>
    <cellStyle name="Komma 2 4 4 2" xfId="519" xr:uid="{00000000-0005-0000-0000-000055010000}"/>
    <cellStyle name="Komma 2 4 4 3" xfId="786" xr:uid="{00000000-0005-0000-0000-000056010000}"/>
    <cellStyle name="Komma 2 4 4 4" xfId="1030" xr:uid="{00000000-0005-0000-0000-000057010000}"/>
    <cellStyle name="Komma 2 4 5" xfId="398" xr:uid="{00000000-0005-0000-0000-000058010000}"/>
    <cellStyle name="Komma 2 4 6" xfId="655" xr:uid="{00000000-0005-0000-0000-000059010000}"/>
    <cellStyle name="Komma 2 4 7" xfId="908" xr:uid="{00000000-0005-0000-0000-00005A010000}"/>
    <cellStyle name="Komma 2 5" xfId="92" xr:uid="{00000000-0005-0000-0000-00005B010000}"/>
    <cellStyle name="Komma 2 5 2" xfId="157" xr:uid="{00000000-0005-0000-0000-00005C010000}"/>
    <cellStyle name="Komma 2 5 2 2" xfId="238" xr:uid="{00000000-0005-0000-0000-00005D010000}"/>
    <cellStyle name="Komma 2 5 2 2 2" xfId="601" xr:uid="{00000000-0005-0000-0000-00005E010000}"/>
    <cellStyle name="Komma 2 5 2 2 3" xfId="868" xr:uid="{00000000-0005-0000-0000-00005F010000}"/>
    <cellStyle name="Komma 2 5 2 2 4" xfId="1112" xr:uid="{00000000-0005-0000-0000-000060010000}"/>
    <cellStyle name="Komma 2 5 2 3" xfId="359" xr:uid="{00000000-0005-0000-0000-000061010000}"/>
    <cellStyle name="Komma 2 5 2 4" xfId="480" xr:uid="{00000000-0005-0000-0000-000062010000}"/>
    <cellStyle name="Komma 2 5 2 5" xfId="747" xr:uid="{00000000-0005-0000-0000-000063010000}"/>
    <cellStyle name="Komma 2 5 2 6" xfId="991" xr:uid="{00000000-0005-0000-0000-000064010000}"/>
    <cellStyle name="Komma 2 5 3" xfId="196" xr:uid="{00000000-0005-0000-0000-000065010000}"/>
    <cellStyle name="Komma 2 5 3 2" xfId="318" xr:uid="{00000000-0005-0000-0000-000066010000}"/>
    <cellStyle name="Komma 2 5 3 2 2" xfId="560" xr:uid="{00000000-0005-0000-0000-000067010000}"/>
    <cellStyle name="Komma 2 5 3 2 3" xfId="827" xr:uid="{00000000-0005-0000-0000-000068010000}"/>
    <cellStyle name="Komma 2 5 3 2 4" xfId="1071" xr:uid="{00000000-0005-0000-0000-000069010000}"/>
    <cellStyle name="Komma 2 5 3 3" xfId="439" xr:uid="{00000000-0005-0000-0000-00006A010000}"/>
    <cellStyle name="Komma 2 5 3 4" xfId="706" xr:uid="{00000000-0005-0000-0000-00006B010000}"/>
    <cellStyle name="Komma 2 5 3 5" xfId="950" xr:uid="{00000000-0005-0000-0000-00006C010000}"/>
    <cellStyle name="Komma 2 5 4" xfId="278" xr:uid="{00000000-0005-0000-0000-00006D010000}"/>
    <cellStyle name="Komma 2 5 4 2" xfId="520" xr:uid="{00000000-0005-0000-0000-00006E010000}"/>
    <cellStyle name="Komma 2 5 4 3" xfId="787" xr:uid="{00000000-0005-0000-0000-00006F010000}"/>
    <cellStyle name="Komma 2 5 4 4" xfId="1031" xr:uid="{00000000-0005-0000-0000-000070010000}"/>
    <cellStyle name="Komma 2 5 5" xfId="399" xr:uid="{00000000-0005-0000-0000-000071010000}"/>
    <cellStyle name="Komma 2 5 6" xfId="656" xr:uid="{00000000-0005-0000-0000-000072010000}"/>
    <cellStyle name="Komma 2 5 7" xfId="909" xr:uid="{00000000-0005-0000-0000-000073010000}"/>
    <cellStyle name="Komma 2 6" xfId="151" xr:uid="{00000000-0005-0000-0000-000074010000}"/>
    <cellStyle name="Komma 2 6 2" xfId="232" xr:uid="{00000000-0005-0000-0000-000075010000}"/>
    <cellStyle name="Komma 2 6 2 2" xfId="595" xr:uid="{00000000-0005-0000-0000-000076010000}"/>
    <cellStyle name="Komma 2 6 2 3" xfId="862" xr:uid="{00000000-0005-0000-0000-000077010000}"/>
    <cellStyle name="Komma 2 6 2 4" xfId="1106" xr:uid="{00000000-0005-0000-0000-000078010000}"/>
    <cellStyle name="Komma 2 6 3" xfId="353" xr:uid="{00000000-0005-0000-0000-000079010000}"/>
    <cellStyle name="Komma 2 6 4" xfId="474" xr:uid="{00000000-0005-0000-0000-00007A010000}"/>
    <cellStyle name="Komma 2 6 5" xfId="741" xr:uid="{00000000-0005-0000-0000-00007B010000}"/>
    <cellStyle name="Komma 2 6 6" xfId="985" xr:uid="{00000000-0005-0000-0000-00007C010000}"/>
    <cellStyle name="Komma 2 7" xfId="197" xr:uid="{00000000-0005-0000-0000-00007D010000}"/>
    <cellStyle name="Komma 2 7 2" xfId="312" xr:uid="{00000000-0005-0000-0000-00007E010000}"/>
    <cellStyle name="Komma 2 7 2 2" xfId="554" xr:uid="{00000000-0005-0000-0000-00007F010000}"/>
    <cellStyle name="Komma 2 7 2 3" xfId="821" xr:uid="{00000000-0005-0000-0000-000080010000}"/>
    <cellStyle name="Komma 2 7 2 4" xfId="1065" xr:uid="{00000000-0005-0000-0000-000081010000}"/>
    <cellStyle name="Komma 2 7 3" xfId="433" xr:uid="{00000000-0005-0000-0000-000082010000}"/>
    <cellStyle name="Komma 2 7 4" xfId="700" xr:uid="{00000000-0005-0000-0000-000083010000}"/>
    <cellStyle name="Komma 2 7 5" xfId="944" xr:uid="{00000000-0005-0000-0000-000084010000}"/>
    <cellStyle name="Komma 2 8" xfId="272" xr:uid="{00000000-0005-0000-0000-000085010000}"/>
    <cellStyle name="Komma 2 8 2" xfId="514" xr:uid="{00000000-0005-0000-0000-000086010000}"/>
    <cellStyle name="Komma 2 8 3" xfId="781" xr:uid="{00000000-0005-0000-0000-000087010000}"/>
    <cellStyle name="Komma 2 8 4" xfId="1025" xr:uid="{00000000-0005-0000-0000-000088010000}"/>
    <cellStyle name="Komma 2 9" xfId="393" xr:uid="{00000000-0005-0000-0000-000089010000}"/>
    <cellStyle name="Komma 3" xfId="93" xr:uid="{00000000-0005-0000-0000-00008A010000}"/>
    <cellStyle name="Komma 3 2" xfId="910" xr:uid="{00000000-0005-0000-0000-00008B010000}"/>
    <cellStyle name="Komma 4" xfId="649" xr:uid="{00000000-0005-0000-0000-00008C010000}"/>
    <cellStyle name="Komma 5" xfId="902" xr:uid="{00000000-0005-0000-0000-00008D010000}"/>
    <cellStyle name="Link 2" xfId="1157" xr:uid="{0A0F7470-CA00-4B7F-8963-677DB974814F}"/>
    <cellStyle name="Link 3" xfId="1163" xr:uid="{F79C0E44-64B6-4DA2-A10E-D23B997E4340}"/>
    <cellStyle name="Notiz" xfId="94" xr:uid="{00000000-0005-0000-0000-00008F010000}"/>
    <cellStyle name="Notiz 2" xfId="95" xr:uid="{00000000-0005-0000-0000-000090010000}"/>
    <cellStyle name="Notiz 3" xfId="657" xr:uid="{00000000-0005-0000-0000-000091010000}"/>
    <cellStyle name="Prozent 2" xfId="96" xr:uid="{00000000-0005-0000-0000-000092010000}"/>
    <cellStyle name="Prozent 2 10" xfId="658" xr:uid="{00000000-0005-0000-0000-000093010000}"/>
    <cellStyle name="Prozent 2 11" xfId="911" xr:uid="{00000000-0005-0000-0000-000094010000}"/>
    <cellStyle name="Prozent 2 2" xfId="97" xr:uid="{00000000-0005-0000-0000-000095010000}"/>
    <cellStyle name="Prozent 2 2 2" xfId="98" xr:uid="{00000000-0005-0000-0000-000096010000}"/>
    <cellStyle name="Prozent 2 2 2 2" xfId="160" xr:uid="{00000000-0005-0000-0000-000097010000}"/>
    <cellStyle name="Prozent 2 2 2 2 2" xfId="241" xr:uid="{00000000-0005-0000-0000-000098010000}"/>
    <cellStyle name="Prozent 2 2 2 2 2 2" xfId="604" xr:uid="{00000000-0005-0000-0000-000099010000}"/>
    <cellStyle name="Prozent 2 2 2 2 2 3" xfId="871" xr:uid="{00000000-0005-0000-0000-00009A010000}"/>
    <cellStyle name="Prozent 2 2 2 2 2 4" xfId="1115" xr:uid="{00000000-0005-0000-0000-00009B010000}"/>
    <cellStyle name="Prozent 2 2 2 2 3" xfId="362" xr:uid="{00000000-0005-0000-0000-00009C010000}"/>
    <cellStyle name="Prozent 2 2 2 2 4" xfId="483" xr:uid="{00000000-0005-0000-0000-00009D010000}"/>
    <cellStyle name="Prozent 2 2 2 2 5" xfId="750" xr:uid="{00000000-0005-0000-0000-00009E010000}"/>
    <cellStyle name="Prozent 2 2 2 2 6" xfId="994" xr:uid="{00000000-0005-0000-0000-00009F010000}"/>
    <cellStyle name="Prozent 2 2 2 3" xfId="198" xr:uid="{00000000-0005-0000-0000-0000A0010000}"/>
    <cellStyle name="Prozent 2 2 2 3 2" xfId="321" xr:uid="{00000000-0005-0000-0000-0000A1010000}"/>
    <cellStyle name="Prozent 2 2 2 3 2 2" xfId="563" xr:uid="{00000000-0005-0000-0000-0000A2010000}"/>
    <cellStyle name="Prozent 2 2 2 3 2 3" xfId="830" xr:uid="{00000000-0005-0000-0000-0000A3010000}"/>
    <cellStyle name="Prozent 2 2 2 3 2 4" xfId="1074" xr:uid="{00000000-0005-0000-0000-0000A4010000}"/>
    <cellStyle name="Prozent 2 2 2 3 3" xfId="442" xr:uid="{00000000-0005-0000-0000-0000A5010000}"/>
    <cellStyle name="Prozent 2 2 2 3 4" xfId="709" xr:uid="{00000000-0005-0000-0000-0000A6010000}"/>
    <cellStyle name="Prozent 2 2 2 3 5" xfId="953" xr:uid="{00000000-0005-0000-0000-0000A7010000}"/>
    <cellStyle name="Prozent 2 2 2 4" xfId="281" xr:uid="{00000000-0005-0000-0000-0000A8010000}"/>
    <cellStyle name="Prozent 2 2 2 4 2" xfId="523" xr:uid="{00000000-0005-0000-0000-0000A9010000}"/>
    <cellStyle name="Prozent 2 2 2 4 3" xfId="790" xr:uid="{00000000-0005-0000-0000-0000AA010000}"/>
    <cellStyle name="Prozent 2 2 2 4 4" xfId="1034" xr:uid="{00000000-0005-0000-0000-0000AB010000}"/>
    <cellStyle name="Prozent 2 2 2 5" xfId="402" xr:uid="{00000000-0005-0000-0000-0000AC010000}"/>
    <cellStyle name="Prozent 2 2 2 6" xfId="660" xr:uid="{00000000-0005-0000-0000-0000AD010000}"/>
    <cellStyle name="Prozent 2 2 2 7" xfId="913" xr:uid="{00000000-0005-0000-0000-0000AE010000}"/>
    <cellStyle name="Prozent 2 2 3" xfId="159" xr:uid="{00000000-0005-0000-0000-0000AF010000}"/>
    <cellStyle name="Prozent 2 2 3 2" xfId="240" xr:uid="{00000000-0005-0000-0000-0000B0010000}"/>
    <cellStyle name="Prozent 2 2 3 2 2" xfId="603" xr:uid="{00000000-0005-0000-0000-0000B1010000}"/>
    <cellStyle name="Prozent 2 2 3 2 3" xfId="870" xr:uid="{00000000-0005-0000-0000-0000B2010000}"/>
    <cellStyle name="Prozent 2 2 3 2 4" xfId="1114" xr:uid="{00000000-0005-0000-0000-0000B3010000}"/>
    <cellStyle name="Prozent 2 2 3 3" xfId="361" xr:uid="{00000000-0005-0000-0000-0000B4010000}"/>
    <cellStyle name="Prozent 2 2 3 4" xfId="482" xr:uid="{00000000-0005-0000-0000-0000B5010000}"/>
    <cellStyle name="Prozent 2 2 3 5" xfId="749" xr:uid="{00000000-0005-0000-0000-0000B6010000}"/>
    <cellStyle name="Prozent 2 2 3 6" xfId="993" xr:uid="{00000000-0005-0000-0000-0000B7010000}"/>
    <cellStyle name="Prozent 2 2 4" xfId="199" xr:uid="{00000000-0005-0000-0000-0000B8010000}"/>
    <cellStyle name="Prozent 2 2 4 2" xfId="320" xr:uid="{00000000-0005-0000-0000-0000B9010000}"/>
    <cellStyle name="Prozent 2 2 4 2 2" xfId="562" xr:uid="{00000000-0005-0000-0000-0000BA010000}"/>
    <cellStyle name="Prozent 2 2 4 2 3" xfId="829" xr:uid="{00000000-0005-0000-0000-0000BB010000}"/>
    <cellStyle name="Prozent 2 2 4 2 4" xfId="1073" xr:uid="{00000000-0005-0000-0000-0000BC010000}"/>
    <cellStyle name="Prozent 2 2 4 3" xfId="441" xr:uid="{00000000-0005-0000-0000-0000BD010000}"/>
    <cellStyle name="Prozent 2 2 4 4" xfId="708" xr:uid="{00000000-0005-0000-0000-0000BE010000}"/>
    <cellStyle name="Prozent 2 2 4 5" xfId="952" xr:uid="{00000000-0005-0000-0000-0000BF010000}"/>
    <cellStyle name="Prozent 2 2 5" xfId="280" xr:uid="{00000000-0005-0000-0000-0000C0010000}"/>
    <cellStyle name="Prozent 2 2 5 2" xfId="522" xr:uid="{00000000-0005-0000-0000-0000C1010000}"/>
    <cellStyle name="Prozent 2 2 5 3" xfId="789" xr:uid="{00000000-0005-0000-0000-0000C2010000}"/>
    <cellStyle name="Prozent 2 2 5 4" xfId="1033" xr:uid="{00000000-0005-0000-0000-0000C3010000}"/>
    <cellStyle name="Prozent 2 2 6" xfId="401" xr:uid="{00000000-0005-0000-0000-0000C4010000}"/>
    <cellStyle name="Prozent 2 2 7" xfId="659" xr:uid="{00000000-0005-0000-0000-0000C5010000}"/>
    <cellStyle name="Prozent 2 2 8" xfId="912" xr:uid="{00000000-0005-0000-0000-0000C6010000}"/>
    <cellStyle name="Prozent 2 3" xfId="99" xr:uid="{00000000-0005-0000-0000-0000C7010000}"/>
    <cellStyle name="Prozent 2 3 2" xfId="100" xr:uid="{00000000-0005-0000-0000-0000C8010000}"/>
    <cellStyle name="Prozent 2 3 2 2" xfId="162" xr:uid="{00000000-0005-0000-0000-0000C9010000}"/>
    <cellStyle name="Prozent 2 3 2 2 2" xfId="243" xr:uid="{00000000-0005-0000-0000-0000CA010000}"/>
    <cellStyle name="Prozent 2 3 2 2 2 2" xfId="606" xr:uid="{00000000-0005-0000-0000-0000CB010000}"/>
    <cellStyle name="Prozent 2 3 2 2 2 3" xfId="873" xr:uid="{00000000-0005-0000-0000-0000CC010000}"/>
    <cellStyle name="Prozent 2 3 2 2 2 4" xfId="1117" xr:uid="{00000000-0005-0000-0000-0000CD010000}"/>
    <cellStyle name="Prozent 2 3 2 2 3" xfId="364" xr:uid="{00000000-0005-0000-0000-0000CE010000}"/>
    <cellStyle name="Prozent 2 3 2 2 4" xfId="485" xr:uid="{00000000-0005-0000-0000-0000CF010000}"/>
    <cellStyle name="Prozent 2 3 2 2 5" xfId="752" xr:uid="{00000000-0005-0000-0000-0000D0010000}"/>
    <cellStyle name="Prozent 2 3 2 2 6" xfId="996" xr:uid="{00000000-0005-0000-0000-0000D1010000}"/>
    <cellStyle name="Prozent 2 3 2 3" xfId="200" xr:uid="{00000000-0005-0000-0000-0000D2010000}"/>
    <cellStyle name="Prozent 2 3 2 3 2" xfId="323" xr:uid="{00000000-0005-0000-0000-0000D3010000}"/>
    <cellStyle name="Prozent 2 3 2 3 2 2" xfId="565" xr:uid="{00000000-0005-0000-0000-0000D4010000}"/>
    <cellStyle name="Prozent 2 3 2 3 2 3" xfId="832" xr:uid="{00000000-0005-0000-0000-0000D5010000}"/>
    <cellStyle name="Prozent 2 3 2 3 2 4" xfId="1076" xr:uid="{00000000-0005-0000-0000-0000D6010000}"/>
    <cellStyle name="Prozent 2 3 2 3 3" xfId="444" xr:uid="{00000000-0005-0000-0000-0000D7010000}"/>
    <cellStyle name="Prozent 2 3 2 3 4" xfId="711" xr:uid="{00000000-0005-0000-0000-0000D8010000}"/>
    <cellStyle name="Prozent 2 3 2 3 5" xfId="955" xr:uid="{00000000-0005-0000-0000-0000D9010000}"/>
    <cellStyle name="Prozent 2 3 2 4" xfId="283" xr:uid="{00000000-0005-0000-0000-0000DA010000}"/>
    <cellStyle name="Prozent 2 3 2 4 2" xfId="525" xr:uid="{00000000-0005-0000-0000-0000DB010000}"/>
    <cellStyle name="Prozent 2 3 2 4 3" xfId="792" xr:uid="{00000000-0005-0000-0000-0000DC010000}"/>
    <cellStyle name="Prozent 2 3 2 4 4" xfId="1036" xr:uid="{00000000-0005-0000-0000-0000DD010000}"/>
    <cellStyle name="Prozent 2 3 2 5" xfId="404" xr:uid="{00000000-0005-0000-0000-0000DE010000}"/>
    <cellStyle name="Prozent 2 3 2 6" xfId="662" xr:uid="{00000000-0005-0000-0000-0000DF010000}"/>
    <cellStyle name="Prozent 2 3 2 7" xfId="915" xr:uid="{00000000-0005-0000-0000-0000E0010000}"/>
    <cellStyle name="Prozent 2 3 3" xfId="161" xr:uid="{00000000-0005-0000-0000-0000E1010000}"/>
    <cellStyle name="Prozent 2 3 3 2" xfId="242" xr:uid="{00000000-0005-0000-0000-0000E2010000}"/>
    <cellStyle name="Prozent 2 3 3 2 2" xfId="605" xr:uid="{00000000-0005-0000-0000-0000E3010000}"/>
    <cellStyle name="Prozent 2 3 3 2 3" xfId="872" xr:uid="{00000000-0005-0000-0000-0000E4010000}"/>
    <cellStyle name="Prozent 2 3 3 2 4" xfId="1116" xr:uid="{00000000-0005-0000-0000-0000E5010000}"/>
    <cellStyle name="Prozent 2 3 3 3" xfId="363" xr:uid="{00000000-0005-0000-0000-0000E6010000}"/>
    <cellStyle name="Prozent 2 3 3 4" xfId="484" xr:uid="{00000000-0005-0000-0000-0000E7010000}"/>
    <cellStyle name="Prozent 2 3 3 5" xfId="751" xr:uid="{00000000-0005-0000-0000-0000E8010000}"/>
    <cellStyle name="Prozent 2 3 3 6" xfId="995" xr:uid="{00000000-0005-0000-0000-0000E9010000}"/>
    <cellStyle name="Prozent 2 3 4" xfId="201" xr:uid="{00000000-0005-0000-0000-0000EA010000}"/>
    <cellStyle name="Prozent 2 3 4 2" xfId="322" xr:uid="{00000000-0005-0000-0000-0000EB010000}"/>
    <cellStyle name="Prozent 2 3 4 2 2" xfId="564" xr:uid="{00000000-0005-0000-0000-0000EC010000}"/>
    <cellStyle name="Prozent 2 3 4 2 3" xfId="831" xr:uid="{00000000-0005-0000-0000-0000ED010000}"/>
    <cellStyle name="Prozent 2 3 4 2 4" xfId="1075" xr:uid="{00000000-0005-0000-0000-0000EE010000}"/>
    <cellStyle name="Prozent 2 3 4 3" xfId="443" xr:uid="{00000000-0005-0000-0000-0000EF010000}"/>
    <cellStyle name="Prozent 2 3 4 4" xfId="710" xr:uid="{00000000-0005-0000-0000-0000F0010000}"/>
    <cellStyle name="Prozent 2 3 4 5" xfId="954" xr:uid="{00000000-0005-0000-0000-0000F1010000}"/>
    <cellStyle name="Prozent 2 3 5" xfId="282" xr:uid="{00000000-0005-0000-0000-0000F2010000}"/>
    <cellStyle name="Prozent 2 3 5 2" xfId="524" xr:uid="{00000000-0005-0000-0000-0000F3010000}"/>
    <cellStyle name="Prozent 2 3 5 3" xfId="791" xr:uid="{00000000-0005-0000-0000-0000F4010000}"/>
    <cellStyle name="Prozent 2 3 5 4" xfId="1035" xr:uid="{00000000-0005-0000-0000-0000F5010000}"/>
    <cellStyle name="Prozent 2 3 6" xfId="403" xr:uid="{00000000-0005-0000-0000-0000F6010000}"/>
    <cellStyle name="Prozent 2 3 7" xfId="661" xr:uid="{00000000-0005-0000-0000-0000F7010000}"/>
    <cellStyle name="Prozent 2 3 8" xfId="914" xr:uid="{00000000-0005-0000-0000-0000F8010000}"/>
    <cellStyle name="Prozent 2 4" xfId="101" xr:uid="{00000000-0005-0000-0000-0000F9010000}"/>
    <cellStyle name="Prozent 2 4 2" xfId="163" xr:uid="{00000000-0005-0000-0000-0000FA010000}"/>
    <cellStyle name="Prozent 2 4 2 2" xfId="244" xr:uid="{00000000-0005-0000-0000-0000FB010000}"/>
    <cellStyle name="Prozent 2 4 2 2 2" xfId="607" xr:uid="{00000000-0005-0000-0000-0000FC010000}"/>
    <cellStyle name="Prozent 2 4 2 2 3" xfId="874" xr:uid="{00000000-0005-0000-0000-0000FD010000}"/>
    <cellStyle name="Prozent 2 4 2 2 4" xfId="1118" xr:uid="{00000000-0005-0000-0000-0000FE010000}"/>
    <cellStyle name="Prozent 2 4 2 3" xfId="365" xr:uid="{00000000-0005-0000-0000-0000FF010000}"/>
    <cellStyle name="Prozent 2 4 2 4" xfId="486" xr:uid="{00000000-0005-0000-0000-000000020000}"/>
    <cellStyle name="Prozent 2 4 2 5" xfId="753" xr:uid="{00000000-0005-0000-0000-000001020000}"/>
    <cellStyle name="Prozent 2 4 2 6" xfId="997" xr:uid="{00000000-0005-0000-0000-000002020000}"/>
    <cellStyle name="Prozent 2 4 3" xfId="202" xr:uid="{00000000-0005-0000-0000-000003020000}"/>
    <cellStyle name="Prozent 2 4 3 2" xfId="324" xr:uid="{00000000-0005-0000-0000-000004020000}"/>
    <cellStyle name="Prozent 2 4 3 2 2" xfId="566" xr:uid="{00000000-0005-0000-0000-000005020000}"/>
    <cellStyle name="Prozent 2 4 3 2 3" xfId="833" xr:uid="{00000000-0005-0000-0000-000006020000}"/>
    <cellStyle name="Prozent 2 4 3 2 4" xfId="1077" xr:uid="{00000000-0005-0000-0000-000007020000}"/>
    <cellStyle name="Prozent 2 4 3 3" xfId="445" xr:uid="{00000000-0005-0000-0000-000008020000}"/>
    <cellStyle name="Prozent 2 4 3 4" xfId="712" xr:uid="{00000000-0005-0000-0000-000009020000}"/>
    <cellStyle name="Prozent 2 4 3 5" xfId="956" xr:uid="{00000000-0005-0000-0000-00000A020000}"/>
    <cellStyle name="Prozent 2 4 4" xfId="284" xr:uid="{00000000-0005-0000-0000-00000B020000}"/>
    <cellStyle name="Prozent 2 4 4 2" xfId="526" xr:uid="{00000000-0005-0000-0000-00000C020000}"/>
    <cellStyle name="Prozent 2 4 4 3" xfId="793" xr:uid="{00000000-0005-0000-0000-00000D020000}"/>
    <cellStyle name="Prozent 2 4 4 4" xfId="1037" xr:uid="{00000000-0005-0000-0000-00000E020000}"/>
    <cellStyle name="Prozent 2 4 5" xfId="405" xr:uid="{00000000-0005-0000-0000-00000F020000}"/>
    <cellStyle name="Prozent 2 4 6" xfId="663" xr:uid="{00000000-0005-0000-0000-000010020000}"/>
    <cellStyle name="Prozent 2 4 7" xfId="916" xr:uid="{00000000-0005-0000-0000-000011020000}"/>
    <cellStyle name="Prozent 2 5" xfId="102" xr:uid="{00000000-0005-0000-0000-000012020000}"/>
    <cellStyle name="Prozent 2 5 2" xfId="164" xr:uid="{00000000-0005-0000-0000-000013020000}"/>
    <cellStyle name="Prozent 2 5 2 2" xfId="245" xr:uid="{00000000-0005-0000-0000-000014020000}"/>
    <cellStyle name="Prozent 2 5 2 2 2" xfId="608" xr:uid="{00000000-0005-0000-0000-000015020000}"/>
    <cellStyle name="Prozent 2 5 2 2 3" xfId="875" xr:uid="{00000000-0005-0000-0000-000016020000}"/>
    <cellStyle name="Prozent 2 5 2 2 4" xfId="1119" xr:uid="{00000000-0005-0000-0000-000017020000}"/>
    <cellStyle name="Prozent 2 5 2 3" xfId="366" xr:uid="{00000000-0005-0000-0000-000018020000}"/>
    <cellStyle name="Prozent 2 5 2 4" xfId="487" xr:uid="{00000000-0005-0000-0000-000019020000}"/>
    <cellStyle name="Prozent 2 5 2 5" xfId="754" xr:uid="{00000000-0005-0000-0000-00001A020000}"/>
    <cellStyle name="Prozent 2 5 2 6" xfId="998" xr:uid="{00000000-0005-0000-0000-00001B020000}"/>
    <cellStyle name="Prozent 2 5 3" xfId="203" xr:uid="{00000000-0005-0000-0000-00001C020000}"/>
    <cellStyle name="Prozent 2 5 3 2" xfId="325" xr:uid="{00000000-0005-0000-0000-00001D020000}"/>
    <cellStyle name="Prozent 2 5 3 2 2" xfId="567" xr:uid="{00000000-0005-0000-0000-00001E020000}"/>
    <cellStyle name="Prozent 2 5 3 2 3" xfId="834" xr:uid="{00000000-0005-0000-0000-00001F020000}"/>
    <cellStyle name="Prozent 2 5 3 2 4" xfId="1078" xr:uid="{00000000-0005-0000-0000-000020020000}"/>
    <cellStyle name="Prozent 2 5 3 3" xfId="446" xr:uid="{00000000-0005-0000-0000-000021020000}"/>
    <cellStyle name="Prozent 2 5 3 4" xfId="713" xr:uid="{00000000-0005-0000-0000-000022020000}"/>
    <cellStyle name="Prozent 2 5 3 5" xfId="957" xr:uid="{00000000-0005-0000-0000-000023020000}"/>
    <cellStyle name="Prozent 2 5 4" xfId="285" xr:uid="{00000000-0005-0000-0000-000024020000}"/>
    <cellStyle name="Prozent 2 5 4 2" xfId="527" xr:uid="{00000000-0005-0000-0000-000025020000}"/>
    <cellStyle name="Prozent 2 5 4 3" xfId="794" xr:uid="{00000000-0005-0000-0000-000026020000}"/>
    <cellStyle name="Prozent 2 5 4 4" xfId="1038" xr:uid="{00000000-0005-0000-0000-000027020000}"/>
    <cellStyle name="Prozent 2 5 5" xfId="406" xr:uid="{00000000-0005-0000-0000-000028020000}"/>
    <cellStyle name="Prozent 2 5 6" xfId="664" xr:uid="{00000000-0005-0000-0000-000029020000}"/>
    <cellStyle name="Prozent 2 5 7" xfId="917" xr:uid="{00000000-0005-0000-0000-00002A020000}"/>
    <cellStyle name="Prozent 2 6" xfId="158" xr:uid="{00000000-0005-0000-0000-00002B020000}"/>
    <cellStyle name="Prozent 2 6 2" xfId="239" xr:uid="{00000000-0005-0000-0000-00002C020000}"/>
    <cellStyle name="Prozent 2 6 2 2" xfId="602" xr:uid="{00000000-0005-0000-0000-00002D020000}"/>
    <cellStyle name="Prozent 2 6 2 3" xfId="869" xr:uid="{00000000-0005-0000-0000-00002E020000}"/>
    <cellStyle name="Prozent 2 6 2 4" xfId="1113" xr:uid="{00000000-0005-0000-0000-00002F020000}"/>
    <cellStyle name="Prozent 2 6 3" xfId="360" xr:uid="{00000000-0005-0000-0000-000030020000}"/>
    <cellStyle name="Prozent 2 6 4" xfId="481" xr:uid="{00000000-0005-0000-0000-000031020000}"/>
    <cellStyle name="Prozent 2 6 5" xfId="748" xr:uid="{00000000-0005-0000-0000-000032020000}"/>
    <cellStyle name="Prozent 2 6 6" xfId="992" xr:uid="{00000000-0005-0000-0000-000033020000}"/>
    <cellStyle name="Prozent 2 7" xfId="204" xr:uid="{00000000-0005-0000-0000-000034020000}"/>
    <cellStyle name="Prozent 2 7 2" xfId="319" xr:uid="{00000000-0005-0000-0000-000035020000}"/>
    <cellStyle name="Prozent 2 7 2 2" xfId="561" xr:uid="{00000000-0005-0000-0000-000036020000}"/>
    <cellStyle name="Prozent 2 7 2 3" xfId="828" xr:uid="{00000000-0005-0000-0000-000037020000}"/>
    <cellStyle name="Prozent 2 7 2 4" xfId="1072" xr:uid="{00000000-0005-0000-0000-000038020000}"/>
    <cellStyle name="Prozent 2 7 3" xfId="440" xr:uid="{00000000-0005-0000-0000-000039020000}"/>
    <cellStyle name="Prozent 2 7 4" xfId="707" xr:uid="{00000000-0005-0000-0000-00003A020000}"/>
    <cellStyle name="Prozent 2 7 5" xfId="951" xr:uid="{00000000-0005-0000-0000-00003B020000}"/>
    <cellStyle name="Prozent 2 8" xfId="279" xr:uid="{00000000-0005-0000-0000-00003C020000}"/>
    <cellStyle name="Prozent 2 8 2" xfId="521" xr:uid="{00000000-0005-0000-0000-00003D020000}"/>
    <cellStyle name="Prozent 2 8 3" xfId="788" xr:uid="{00000000-0005-0000-0000-00003E020000}"/>
    <cellStyle name="Prozent 2 8 4" xfId="1032" xr:uid="{00000000-0005-0000-0000-00003F020000}"/>
    <cellStyle name="Prozent 2 9" xfId="400" xr:uid="{00000000-0005-0000-0000-000040020000}"/>
    <cellStyle name="Prozent 3" xfId="103" xr:uid="{00000000-0005-0000-0000-000041020000}"/>
    <cellStyle name="Prozent 4" xfId="1158" xr:uid="{CFEDDDEB-5A5F-4DE8-9A58-C2B676591F20}"/>
    <cellStyle name="Schlecht" xfId="104" xr:uid="{00000000-0005-0000-0000-000042020000}"/>
    <cellStyle name="Schlecht 2" xfId="105" xr:uid="{00000000-0005-0000-0000-000043020000}"/>
    <cellStyle name="Schlecht 3" xfId="665" xr:uid="{00000000-0005-0000-0000-000044020000}"/>
    <cellStyle name="Standard" xfId="0" builtinId="0"/>
    <cellStyle name="Standard 10" xfId="1162" xr:uid="{87C223A1-6694-4585-9F46-0BF53AFF4701}"/>
    <cellStyle name="Standard 2" xfId="106" xr:uid="{00000000-0005-0000-0000-000046020000}"/>
    <cellStyle name="Standard 2 2" xfId="1155" xr:uid="{9BB7AF8E-E7EA-4A88-8016-5A0B7F2B69EA}"/>
    <cellStyle name="Standard 2 2 2" xfId="1164" xr:uid="{71B192AF-7FD4-4E39-9C73-8535C4496334}"/>
    <cellStyle name="Standard 3" xfId="107" xr:uid="{00000000-0005-0000-0000-000047020000}"/>
    <cellStyle name="Standard 3 10" xfId="407" xr:uid="{00000000-0005-0000-0000-000048020000}"/>
    <cellStyle name="Standard 3 10 2" xfId="1147" xr:uid="{854C5A0A-123C-4DF7-9DE9-FD4371472334}"/>
    <cellStyle name="Standard 3 10 3" xfId="1150" xr:uid="{6F43782C-2673-4C98-ACB2-8E14DDD46339}"/>
    <cellStyle name="Standard 3 10 3 2" xfId="1169" xr:uid="{BD7130C6-93CA-421F-8CB0-9FB6EA27E490}"/>
    <cellStyle name="Standard 3 11" xfId="666" xr:uid="{00000000-0005-0000-0000-000049020000}"/>
    <cellStyle name="Standard 3 12" xfId="918" xr:uid="{00000000-0005-0000-0000-00004A020000}"/>
    <cellStyle name="Standard 3 13" xfId="1145" xr:uid="{45F8A6A5-EB81-4F73-9B7D-73E286C85EC4}"/>
    <cellStyle name="Standard 3 13 2" xfId="1168" xr:uid="{CEDFF806-CAE2-4A00-9B5E-4143218F83A9}"/>
    <cellStyle name="Standard 3 2" xfId="108" xr:uid="{00000000-0005-0000-0000-00004B020000}"/>
    <cellStyle name="Standard 3 2 10" xfId="667" xr:uid="{00000000-0005-0000-0000-00004C020000}"/>
    <cellStyle name="Standard 3 2 10 2" xfId="1167" xr:uid="{1BFD8D2A-FDB2-4143-B06D-B37D874A3078}"/>
    <cellStyle name="Standard 3 2 11" xfId="919" xr:uid="{00000000-0005-0000-0000-00004D020000}"/>
    <cellStyle name="Standard 3 2 2" xfId="109" xr:uid="{00000000-0005-0000-0000-00004E020000}"/>
    <cellStyle name="Standard 3 2 2 2" xfId="110" xr:uid="{00000000-0005-0000-0000-00004F020000}"/>
    <cellStyle name="Standard 3 2 2 2 2" xfId="168" xr:uid="{00000000-0005-0000-0000-000050020000}"/>
    <cellStyle name="Standard 3 2 2 2 2 2" xfId="249" xr:uid="{00000000-0005-0000-0000-000051020000}"/>
    <cellStyle name="Standard 3 2 2 2 2 2 2" xfId="612" xr:uid="{00000000-0005-0000-0000-000052020000}"/>
    <cellStyle name="Standard 3 2 2 2 2 2 3" xfId="879" xr:uid="{00000000-0005-0000-0000-000053020000}"/>
    <cellStyle name="Standard 3 2 2 2 2 2 4" xfId="1123" xr:uid="{00000000-0005-0000-0000-000054020000}"/>
    <cellStyle name="Standard 3 2 2 2 2 2 5" xfId="1154" xr:uid="{5A275A0A-1147-41A0-B7E1-70BFAB0DB552}"/>
    <cellStyle name="Standard 3 2 2 2 2 3" xfId="370" xr:uid="{00000000-0005-0000-0000-000055020000}"/>
    <cellStyle name="Standard 3 2 2 2 2 3 2" xfId="1148" xr:uid="{91A4AABA-AA6D-403C-A30D-A33E72D64C7B}"/>
    <cellStyle name="Standard 3 2 2 2 2 3 3" xfId="1153" xr:uid="{A6FF8EE0-1EBD-4CBE-A51A-A543D15864B9}"/>
    <cellStyle name="Standard 3 2 2 2 2 3 3 2" xfId="1170" xr:uid="{71F32590-A6E7-4928-A0ED-A40E5888F0F3}"/>
    <cellStyle name="Standard 3 2 2 2 2 4" xfId="491" xr:uid="{00000000-0005-0000-0000-000056020000}"/>
    <cellStyle name="Standard 3 2 2 2 2 5" xfId="758" xr:uid="{00000000-0005-0000-0000-000057020000}"/>
    <cellStyle name="Standard 3 2 2 2 2 6" xfId="1002" xr:uid="{00000000-0005-0000-0000-000058020000}"/>
    <cellStyle name="Standard 3 2 2 2 2 7" xfId="1146" xr:uid="{7E3A2C36-BC63-4340-9455-FCA762AA4C0F}"/>
    <cellStyle name="Standard 3 2 2 2 3" xfId="205" xr:uid="{00000000-0005-0000-0000-000059020000}"/>
    <cellStyle name="Standard 3 2 2 2 3 2" xfId="329" xr:uid="{00000000-0005-0000-0000-00005A020000}"/>
    <cellStyle name="Standard 3 2 2 2 3 2 2" xfId="571" xr:uid="{00000000-0005-0000-0000-00005B020000}"/>
    <cellStyle name="Standard 3 2 2 2 3 2 3" xfId="838" xr:uid="{00000000-0005-0000-0000-00005C020000}"/>
    <cellStyle name="Standard 3 2 2 2 3 2 4" xfId="1082" xr:uid="{00000000-0005-0000-0000-00005D020000}"/>
    <cellStyle name="Standard 3 2 2 2 3 3" xfId="450" xr:uid="{00000000-0005-0000-0000-00005E020000}"/>
    <cellStyle name="Standard 3 2 2 2 3 4" xfId="717" xr:uid="{00000000-0005-0000-0000-00005F020000}"/>
    <cellStyle name="Standard 3 2 2 2 3 5" xfId="961" xr:uid="{00000000-0005-0000-0000-000060020000}"/>
    <cellStyle name="Standard 3 2 2 2 4" xfId="289" xr:uid="{00000000-0005-0000-0000-000061020000}"/>
    <cellStyle name="Standard 3 2 2 2 4 2" xfId="531" xr:uid="{00000000-0005-0000-0000-000062020000}"/>
    <cellStyle name="Standard 3 2 2 2 4 3" xfId="798" xr:uid="{00000000-0005-0000-0000-000063020000}"/>
    <cellStyle name="Standard 3 2 2 2 4 4" xfId="1042" xr:uid="{00000000-0005-0000-0000-000064020000}"/>
    <cellStyle name="Standard 3 2 2 2 5" xfId="410" xr:uid="{00000000-0005-0000-0000-000065020000}"/>
    <cellStyle name="Standard 3 2 2 2 6" xfId="669" xr:uid="{00000000-0005-0000-0000-000066020000}"/>
    <cellStyle name="Standard 3 2 2 2 7" xfId="921" xr:uid="{00000000-0005-0000-0000-000067020000}"/>
    <cellStyle name="Standard 3 2 2 3" xfId="167" xr:uid="{00000000-0005-0000-0000-000068020000}"/>
    <cellStyle name="Standard 3 2 2 3 2" xfId="248" xr:uid="{00000000-0005-0000-0000-000069020000}"/>
    <cellStyle name="Standard 3 2 2 3 2 2" xfId="611" xr:uid="{00000000-0005-0000-0000-00006A020000}"/>
    <cellStyle name="Standard 3 2 2 3 2 3" xfId="878" xr:uid="{00000000-0005-0000-0000-00006B020000}"/>
    <cellStyle name="Standard 3 2 2 3 2 4" xfId="1122" xr:uid="{00000000-0005-0000-0000-00006C020000}"/>
    <cellStyle name="Standard 3 2 2 3 3" xfId="369" xr:uid="{00000000-0005-0000-0000-00006D020000}"/>
    <cellStyle name="Standard 3 2 2 3 4" xfId="490" xr:uid="{00000000-0005-0000-0000-00006E020000}"/>
    <cellStyle name="Standard 3 2 2 3 5" xfId="757" xr:uid="{00000000-0005-0000-0000-00006F020000}"/>
    <cellStyle name="Standard 3 2 2 3 6" xfId="1001" xr:uid="{00000000-0005-0000-0000-000070020000}"/>
    <cellStyle name="Standard 3 2 2 4" xfId="206" xr:uid="{00000000-0005-0000-0000-000071020000}"/>
    <cellStyle name="Standard 3 2 2 4 2" xfId="328" xr:uid="{00000000-0005-0000-0000-000072020000}"/>
    <cellStyle name="Standard 3 2 2 4 2 2" xfId="570" xr:uid="{00000000-0005-0000-0000-000073020000}"/>
    <cellStyle name="Standard 3 2 2 4 2 3" xfId="837" xr:uid="{00000000-0005-0000-0000-000074020000}"/>
    <cellStyle name="Standard 3 2 2 4 2 4" xfId="1081" xr:uid="{00000000-0005-0000-0000-000075020000}"/>
    <cellStyle name="Standard 3 2 2 4 3" xfId="449" xr:uid="{00000000-0005-0000-0000-000076020000}"/>
    <cellStyle name="Standard 3 2 2 4 4" xfId="716" xr:uid="{00000000-0005-0000-0000-000077020000}"/>
    <cellStyle name="Standard 3 2 2 4 5" xfId="960" xr:uid="{00000000-0005-0000-0000-000078020000}"/>
    <cellStyle name="Standard 3 2 2 5" xfId="288" xr:uid="{00000000-0005-0000-0000-000079020000}"/>
    <cellStyle name="Standard 3 2 2 5 2" xfId="530" xr:uid="{00000000-0005-0000-0000-00007A020000}"/>
    <cellStyle name="Standard 3 2 2 5 3" xfId="797" xr:uid="{00000000-0005-0000-0000-00007B020000}"/>
    <cellStyle name="Standard 3 2 2 5 4" xfId="1041" xr:uid="{00000000-0005-0000-0000-00007C020000}"/>
    <cellStyle name="Standard 3 2 2 6" xfId="409" xr:uid="{00000000-0005-0000-0000-00007D020000}"/>
    <cellStyle name="Standard 3 2 2 7" xfId="668" xr:uid="{00000000-0005-0000-0000-00007E020000}"/>
    <cellStyle name="Standard 3 2 2 8" xfId="920" xr:uid="{00000000-0005-0000-0000-00007F020000}"/>
    <cellStyle name="Standard 3 2 3" xfId="111" xr:uid="{00000000-0005-0000-0000-000080020000}"/>
    <cellStyle name="Standard 3 2 3 2" xfId="112" xr:uid="{00000000-0005-0000-0000-000081020000}"/>
    <cellStyle name="Standard 3 2 3 2 2" xfId="170" xr:uid="{00000000-0005-0000-0000-000082020000}"/>
    <cellStyle name="Standard 3 2 3 2 2 2" xfId="251" xr:uid="{00000000-0005-0000-0000-000083020000}"/>
    <cellStyle name="Standard 3 2 3 2 2 2 2" xfId="614" xr:uid="{00000000-0005-0000-0000-000084020000}"/>
    <cellStyle name="Standard 3 2 3 2 2 2 3" xfId="881" xr:uid="{00000000-0005-0000-0000-000085020000}"/>
    <cellStyle name="Standard 3 2 3 2 2 2 4" xfId="1125" xr:uid="{00000000-0005-0000-0000-000086020000}"/>
    <cellStyle name="Standard 3 2 3 2 2 3" xfId="372" xr:uid="{00000000-0005-0000-0000-000087020000}"/>
    <cellStyle name="Standard 3 2 3 2 2 4" xfId="493" xr:uid="{00000000-0005-0000-0000-000088020000}"/>
    <cellStyle name="Standard 3 2 3 2 2 5" xfId="760" xr:uid="{00000000-0005-0000-0000-000089020000}"/>
    <cellStyle name="Standard 3 2 3 2 2 6" xfId="1004" xr:uid="{00000000-0005-0000-0000-00008A020000}"/>
    <cellStyle name="Standard 3 2 3 2 3" xfId="207" xr:uid="{00000000-0005-0000-0000-00008B020000}"/>
    <cellStyle name="Standard 3 2 3 2 3 2" xfId="331" xr:uid="{00000000-0005-0000-0000-00008C020000}"/>
    <cellStyle name="Standard 3 2 3 2 3 2 2" xfId="573" xr:uid="{00000000-0005-0000-0000-00008D020000}"/>
    <cellStyle name="Standard 3 2 3 2 3 2 3" xfId="840" xr:uid="{00000000-0005-0000-0000-00008E020000}"/>
    <cellStyle name="Standard 3 2 3 2 3 2 4" xfId="1084" xr:uid="{00000000-0005-0000-0000-00008F020000}"/>
    <cellStyle name="Standard 3 2 3 2 3 3" xfId="452" xr:uid="{00000000-0005-0000-0000-000090020000}"/>
    <cellStyle name="Standard 3 2 3 2 3 4" xfId="719" xr:uid="{00000000-0005-0000-0000-000091020000}"/>
    <cellStyle name="Standard 3 2 3 2 3 5" xfId="963" xr:uid="{00000000-0005-0000-0000-000092020000}"/>
    <cellStyle name="Standard 3 2 3 2 4" xfId="291" xr:uid="{00000000-0005-0000-0000-000093020000}"/>
    <cellStyle name="Standard 3 2 3 2 4 2" xfId="533" xr:uid="{00000000-0005-0000-0000-000094020000}"/>
    <cellStyle name="Standard 3 2 3 2 4 3" xfId="800" xr:uid="{00000000-0005-0000-0000-000095020000}"/>
    <cellStyle name="Standard 3 2 3 2 4 4" xfId="1044" xr:uid="{00000000-0005-0000-0000-000096020000}"/>
    <cellStyle name="Standard 3 2 3 2 5" xfId="412" xr:uid="{00000000-0005-0000-0000-000097020000}"/>
    <cellStyle name="Standard 3 2 3 2 6" xfId="671" xr:uid="{00000000-0005-0000-0000-000098020000}"/>
    <cellStyle name="Standard 3 2 3 2 7" xfId="923" xr:uid="{00000000-0005-0000-0000-000099020000}"/>
    <cellStyle name="Standard 3 2 3 3" xfId="169" xr:uid="{00000000-0005-0000-0000-00009A020000}"/>
    <cellStyle name="Standard 3 2 3 3 2" xfId="250" xr:uid="{00000000-0005-0000-0000-00009B020000}"/>
    <cellStyle name="Standard 3 2 3 3 2 2" xfId="613" xr:uid="{00000000-0005-0000-0000-00009C020000}"/>
    <cellStyle name="Standard 3 2 3 3 2 3" xfId="880" xr:uid="{00000000-0005-0000-0000-00009D020000}"/>
    <cellStyle name="Standard 3 2 3 3 2 4" xfId="1124" xr:uid="{00000000-0005-0000-0000-00009E020000}"/>
    <cellStyle name="Standard 3 2 3 3 3" xfId="371" xr:uid="{00000000-0005-0000-0000-00009F020000}"/>
    <cellStyle name="Standard 3 2 3 3 4" xfId="492" xr:uid="{00000000-0005-0000-0000-0000A0020000}"/>
    <cellStyle name="Standard 3 2 3 3 5" xfId="759" xr:uid="{00000000-0005-0000-0000-0000A1020000}"/>
    <cellStyle name="Standard 3 2 3 3 6" xfId="1003" xr:uid="{00000000-0005-0000-0000-0000A2020000}"/>
    <cellStyle name="Standard 3 2 3 4" xfId="208" xr:uid="{00000000-0005-0000-0000-0000A3020000}"/>
    <cellStyle name="Standard 3 2 3 4 2" xfId="330" xr:uid="{00000000-0005-0000-0000-0000A4020000}"/>
    <cellStyle name="Standard 3 2 3 4 2 2" xfId="572" xr:uid="{00000000-0005-0000-0000-0000A5020000}"/>
    <cellStyle name="Standard 3 2 3 4 2 3" xfId="839" xr:uid="{00000000-0005-0000-0000-0000A6020000}"/>
    <cellStyle name="Standard 3 2 3 4 2 4" xfId="1083" xr:uid="{00000000-0005-0000-0000-0000A7020000}"/>
    <cellStyle name="Standard 3 2 3 4 3" xfId="451" xr:uid="{00000000-0005-0000-0000-0000A8020000}"/>
    <cellStyle name="Standard 3 2 3 4 4" xfId="718" xr:uid="{00000000-0005-0000-0000-0000A9020000}"/>
    <cellStyle name="Standard 3 2 3 4 5" xfId="962" xr:uid="{00000000-0005-0000-0000-0000AA020000}"/>
    <cellStyle name="Standard 3 2 3 5" xfId="290" xr:uid="{00000000-0005-0000-0000-0000AB020000}"/>
    <cellStyle name="Standard 3 2 3 5 2" xfId="532" xr:uid="{00000000-0005-0000-0000-0000AC020000}"/>
    <cellStyle name="Standard 3 2 3 5 3" xfId="799" xr:uid="{00000000-0005-0000-0000-0000AD020000}"/>
    <cellStyle name="Standard 3 2 3 5 4" xfId="1043" xr:uid="{00000000-0005-0000-0000-0000AE020000}"/>
    <cellStyle name="Standard 3 2 3 6" xfId="411" xr:uid="{00000000-0005-0000-0000-0000AF020000}"/>
    <cellStyle name="Standard 3 2 3 7" xfId="670" xr:uid="{00000000-0005-0000-0000-0000B0020000}"/>
    <cellStyle name="Standard 3 2 3 8" xfId="922" xr:uid="{00000000-0005-0000-0000-0000B1020000}"/>
    <cellStyle name="Standard 3 2 4" xfId="113" xr:uid="{00000000-0005-0000-0000-0000B2020000}"/>
    <cellStyle name="Standard 3 2 4 2" xfId="171" xr:uid="{00000000-0005-0000-0000-0000B3020000}"/>
    <cellStyle name="Standard 3 2 4 2 2" xfId="252" xr:uid="{00000000-0005-0000-0000-0000B4020000}"/>
    <cellStyle name="Standard 3 2 4 2 2 2" xfId="615" xr:uid="{00000000-0005-0000-0000-0000B5020000}"/>
    <cellStyle name="Standard 3 2 4 2 2 3" xfId="882" xr:uid="{00000000-0005-0000-0000-0000B6020000}"/>
    <cellStyle name="Standard 3 2 4 2 2 4" xfId="1126" xr:uid="{00000000-0005-0000-0000-0000B7020000}"/>
    <cellStyle name="Standard 3 2 4 2 3" xfId="373" xr:uid="{00000000-0005-0000-0000-0000B8020000}"/>
    <cellStyle name="Standard 3 2 4 2 4" xfId="494" xr:uid="{00000000-0005-0000-0000-0000B9020000}"/>
    <cellStyle name="Standard 3 2 4 2 5" xfId="761" xr:uid="{00000000-0005-0000-0000-0000BA020000}"/>
    <cellStyle name="Standard 3 2 4 2 6" xfId="1005" xr:uid="{00000000-0005-0000-0000-0000BB020000}"/>
    <cellStyle name="Standard 3 2 4 3" xfId="209" xr:uid="{00000000-0005-0000-0000-0000BC020000}"/>
    <cellStyle name="Standard 3 2 4 3 2" xfId="332" xr:uid="{00000000-0005-0000-0000-0000BD020000}"/>
    <cellStyle name="Standard 3 2 4 3 2 2" xfId="574" xr:uid="{00000000-0005-0000-0000-0000BE020000}"/>
    <cellStyle name="Standard 3 2 4 3 2 3" xfId="841" xr:uid="{00000000-0005-0000-0000-0000BF020000}"/>
    <cellStyle name="Standard 3 2 4 3 2 4" xfId="1085" xr:uid="{00000000-0005-0000-0000-0000C0020000}"/>
    <cellStyle name="Standard 3 2 4 3 3" xfId="453" xr:uid="{00000000-0005-0000-0000-0000C1020000}"/>
    <cellStyle name="Standard 3 2 4 3 4" xfId="720" xr:uid="{00000000-0005-0000-0000-0000C2020000}"/>
    <cellStyle name="Standard 3 2 4 3 5" xfId="964" xr:uid="{00000000-0005-0000-0000-0000C3020000}"/>
    <cellStyle name="Standard 3 2 4 4" xfId="292" xr:uid="{00000000-0005-0000-0000-0000C4020000}"/>
    <cellStyle name="Standard 3 2 4 4 2" xfId="534" xr:uid="{00000000-0005-0000-0000-0000C5020000}"/>
    <cellStyle name="Standard 3 2 4 4 3" xfId="801" xr:uid="{00000000-0005-0000-0000-0000C6020000}"/>
    <cellStyle name="Standard 3 2 4 4 4" xfId="1045" xr:uid="{00000000-0005-0000-0000-0000C7020000}"/>
    <cellStyle name="Standard 3 2 4 5" xfId="413" xr:uid="{00000000-0005-0000-0000-0000C8020000}"/>
    <cellStyle name="Standard 3 2 4 6" xfId="672" xr:uid="{00000000-0005-0000-0000-0000C9020000}"/>
    <cellStyle name="Standard 3 2 4 7" xfId="924" xr:uid="{00000000-0005-0000-0000-0000CA020000}"/>
    <cellStyle name="Standard 3 2 5" xfId="114" xr:uid="{00000000-0005-0000-0000-0000CB020000}"/>
    <cellStyle name="Standard 3 2 5 2" xfId="172" xr:uid="{00000000-0005-0000-0000-0000CC020000}"/>
    <cellStyle name="Standard 3 2 5 2 2" xfId="253" xr:uid="{00000000-0005-0000-0000-0000CD020000}"/>
    <cellStyle name="Standard 3 2 5 2 2 2" xfId="616" xr:uid="{00000000-0005-0000-0000-0000CE020000}"/>
    <cellStyle name="Standard 3 2 5 2 2 3" xfId="883" xr:uid="{00000000-0005-0000-0000-0000CF020000}"/>
    <cellStyle name="Standard 3 2 5 2 2 4" xfId="1127" xr:uid="{00000000-0005-0000-0000-0000D0020000}"/>
    <cellStyle name="Standard 3 2 5 2 3" xfId="374" xr:uid="{00000000-0005-0000-0000-0000D1020000}"/>
    <cellStyle name="Standard 3 2 5 2 4" xfId="495" xr:uid="{00000000-0005-0000-0000-0000D2020000}"/>
    <cellStyle name="Standard 3 2 5 2 5" xfId="762" xr:uid="{00000000-0005-0000-0000-0000D3020000}"/>
    <cellStyle name="Standard 3 2 5 2 6" xfId="1006" xr:uid="{00000000-0005-0000-0000-0000D4020000}"/>
    <cellStyle name="Standard 3 2 5 3" xfId="210" xr:uid="{00000000-0005-0000-0000-0000D5020000}"/>
    <cellStyle name="Standard 3 2 5 3 2" xfId="333" xr:uid="{00000000-0005-0000-0000-0000D6020000}"/>
    <cellStyle name="Standard 3 2 5 3 2 2" xfId="575" xr:uid="{00000000-0005-0000-0000-0000D7020000}"/>
    <cellStyle name="Standard 3 2 5 3 2 3" xfId="842" xr:uid="{00000000-0005-0000-0000-0000D8020000}"/>
    <cellStyle name="Standard 3 2 5 3 2 4" xfId="1086" xr:uid="{00000000-0005-0000-0000-0000D9020000}"/>
    <cellStyle name="Standard 3 2 5 3 3" xfId="454" xr:uid="{00000000-0005-0000-0000-0000DA020000}"/>
    <cellStyle name="Standard 3 2 5 3 4" xfId="721" xr:uid="{00000000-0005-0000-0000-0000DB020000}"/>
    <cellStyle name="Standard 3 2 5 3 5" xfId="965" xr:uid="{00000000-0005-0000-0000-0000DC020000}"/>
    <cellStyle name="Standard 3 2 5 4" xfId="293" xr:uid="{00000000-0005-0000-0000-0000DD020000}"/>
    <cellStyle name="Standard 3 2 5 4 2" xfId="535" xr:uid="{00000000-0005-0000-0000-0000DE020000}"/>
    <cellStyle name="Standard 3 2 5 4 3" xfId="802" xr:uid="{00000000-0005-0000-0000-0000DF020000}"/>
    <cellStyle name="Standard 3 2 5 4 4" xfId="1046" xr:uid="{00000000-0005-0000-0000-0000E0020000}"/>
    <cellStyle name="Standard 3 2 5 5" xfId="414" xr:uid="{00000000-0005-0000-0000-0000E1020000}"/>
    <cellStyle name="Standard 3 2 5 6" xfId="673" xr:uid="{00000000-0005-0000-0000-0000E2020000}"/>
    <cellStyle name="Standard 3 2 5 7" xfId="925" xr:uid="{00000000-0005-0000-0000-0000E3020000}"/>
    <cellStyle name="Standard 3 2 6" xfId="166" xr:uid="{00000000-0005-0000-0000-0000E4020000}"/>
    <cellStyle name="Standard 3 2 6 2" xfId="247" xr:uid="{00000000-0005-0000-0000-0000E5020000}"/>
    <cellStyle name="Standard 3 2 6 2 2" xfId="610" xr:uid="{00000000-0005-0000-0000-0000E6020000}"/>
    <cellStyle name="Standard 3 2 6 2 3" xfId="877" xr:uid="{00000000-0005-0000-0000-0000E7020000}"/>
    <cellStyle name="Standard 3 2 6 2 4" xfId="1121" xr:uid="{00000000-0005-0000-0000-0000E8020000}"/>
    <cellStyle name="Standard 3 2 6 3" xfId="368" xr:uid="{00000000-0005-0000-0000-0000E9020000}"/>
    <cellStyle name="Standard 3 2 6 4" xfId="489" xr:uid="{00000000-0005-0000-0000-0000EA020000}"/>
    <cellStyle name="Standard 3 2 6 5" xfId="756" xr:uid="{00000000-0005-0000-0000-0000EB020000}"/>
    <cellStyle name="Standard 3 2 6 6" xfId="1000" xr:uid="{00000000-0005-0000-0000-0000EC020000}"/>
    <cellStyle name="Standard 3 2 7" xfId="211" xr:uid="{00000000-0005-0000-0000-0000ED020000}"/>
    <cellStyle name="Standard 3 2 7 2" xfId="327" xr:uid="{00000000-0005-0000-0000-0000EE020000}"/>
    <cellStyle name="Standard 3 2 7 2 2" xfId="569" xr:uid="{00000000-0005-0000-0000-0000EF020000}"/>
    <cellStyle name="Standard 3 2 7 2 3" xfId="836" xr:uid="{00000000-0005-0000-0000-0000F0020000}"/>
    <cellStyle name="Standard 3 2 7 2 4" xfId="1080" xr:uid="{00000000-0005-0000-0000-0000F1020000}"/>
    <cellStyle name="Standard 3 2 7 3" xfId="448" xr:uid="{00000000-0005-0000-0000-0000F2020000}"/>
    <cellStyle name="Standard 3 2 7 4" xfId="715" xr:uid="{00000000-0005-0000-0000-0000F3020000}"/>
    <cellStyle name="Standard 3 2 7 5" xfId="959" xr:uid="{00000000-0005-0000-0000-0000F4020000}"/>
    <cellStyle name="Standard 3 2 8" xfId="287" xr:uid="{00000000-0005-0000-0000-0000F5020000}"/>
    <cellStyle name="Standard 3 2 8 2" xfId="529" xr:uid="{00000000-0005-0000-0000-0000F6020000}"/>
    <cellStyle name="Standard 3 2 8 3" xfId="796" xr:uid="{00000000-0005-0000-0000-0000F7020000}"/>
    <cellStyle name="Standard 3 2 8 4" xfId="1040" xr:uid="{00000000-0005-0000-0000-0000F8020000}"/>
    <cellStyle name="Standard 3 2 9" xfId="408" xr:uid="{00000000-0005-0000-0000-0000F9020000}"/>
    <cellStyle name="Standard 3 3" xfId="115" xr:uid="{00000000-0005-0000-0000-0000FA020000}"/>
    <cellStyle name="Standard 3 3 2" xfId="116" xr:uid="{00000000-0005-0000-0000-0000FB020000}"/>
    <cellStyle name="Standard 3 3 2 2" xfId="174" xr:uid="{00000000-0005-0000-0000-0000FC020000}"/>
    <cellStyle name="Standard 3 3 2 2 2" xfId="255" xr:uid="{00000000-0005-0000-0000-0000FD020000}"/>
    <cellStyle name="Standard 3 3 2 2 2 2" xfId="618" xr:uid="{00000000-0005-0000-0000-0000FE020000}"/>
    <cellStyle name="Standard 3 3 2 2 2 3" xfId="885" xr:uid="{00000000-0005-0000-0000-0000FF020000}"/>
    <cellStyle name="Standard 3 3 2 2 2 4" xfId="1129" xr:uid="{00000000-0005-0000-0000-000000030000}"/>
    <cellStyle name="Standard 3 3 2 2 3" xfId="376" xr:uid="{00000000-0005-0000-0000-000001030000}"/>
    <cellStyle name="Standard 3 3 2 2 4" xfId="497" xr:uid="{00000000-0005-0000-0000-000002030000}"/>
    <cellStyle name="Standard 3 3 2 2 5" xfId="764" xr:uid="{00000000-0005-0000-0000-000003030000}"/>
    <cellStyle name="Standard 3 3 2 2 6" xfId="1008" xr:uid="{00000000-0005-0000-0000-000004030000}"/>
    <cellStyle name="Standard 3 3 2 3" xfId="212" xr:uid="{00000000-0005-0000-0000-000005030000}"/>
    <cellStyle name="Standard 3 3 2 3 2" xfId="335" xr:uid="{00000000-0005-0000-0000-000006030000}"/>
    <cellStyle name="Standard 3 3 2 3 2 2" xfId="577" xr:uid="{00000000-0005-0000-0000-000007030000}"/>
    <cellStyle name="Standard 3 3 2 3 2 3" xfId="844" xr:uid="{00000000-0005-0000-0000-000008030000}"/>
    <cellStyle name="Standard 3 3 2 3 2 4" xfId="1088" xr:uid="{00000000-0005-0000-0000-000009030000}"/>
    <cellStyle name="Standard 3 3 2 3 3" xfId="456" xr:uid="{00000000-0005-0000-0000-00000A030000}"/>
    <cellStyle name="Standard 3 3 2 3 4" xfId="723" xr:uid="{00000000-0005-0000-0000-00000B030000}"/>
    <cellStyle name="Standard 3 3 2 3 5" xfId="967" xr:uid="{00000000-0005-0000-0000-00000C030000}"/>
    <cellStyle name="Standard 3 3 2 4" xfId="295" xr:uid="{00000000-0005-0000-0000-00000D030000}"/>
    <cellStyle name="Standard 3 3 2 4 2" xfId="537" xr:uid="{00000000-0005-0000-0000-00000E030000}"/>
    <cellStyle name="Standard 3 3 2 4 3" xfId="804" xr:uid="{00000000-0005-0000-0000-00000F030000}"/>
    <cellStyle name="Standard 3 3 2 4 4" xfId="1048" xr:uid="{00000000-0005-0000-0000-000010030000}"/>
    <cellStyle name="Standard 3 3 2 5" xfId="416" xr:uid="{00000000-0005-0000-0000-000011030000}"/>
    <cellStyle name="Standard 3 3 2 6" xfId="675" xr:uid="{00000000-0005-0000-0000-000012030000}"/>
    <cellStyle name="Standard 3 3 2 7" xfId="927" xr:uid="{00000000-0005-0000-0000-000013030000}"/>
    <cellStyle name="Standard 3 3 3" xfId="173" xr:uid="{00000000-0005-0000-0000-000014030000}"/>
    <cellStyle name="Standard 3 3 3 2" xfId="254" xr:uid="{00000000-0005-0000-0000-000015030000}"/>
    <cellStyle name="Standard 3 3 3 2 2" xfId="617" xr:uid="{00000000-0005-0000-0000-000016030000}"/>
    <cellStyle name="Standard 3 3 3 2 3" xfId="884" xr:uid="{00000000-0005-0000-0000-000017030000}"/>
    <cellStyle name="Standard 3 3 3 2 4" xfId="1128" xr:uid="{00000000-0005-0000-0000-000018030000}"/>
    <cellStyle name="Standard 3 3 3 3" xfId="375" xr:uid="{00000000-0005-0000-0000-000019030000}"/>
    <cellStyle name="Standard 3 3 3 4" xfId="496" xr:uid="{00000000-0005-0000-0000-00001A030000}"/>
    <cellStyle name="Standard 3 3 3 5" xfId="763" xr:uid="{00000000-0005-0000-0000-00001B030000}"/>
    <cellStyle name="Standard 3 3 3 6" xfId="1007" xr:uid="{00000000-0005-0000-0000-00001C030000}"/>
    <cellStyle name="Standard 3 3 4" xfId="213" xr:uid="{00000000-0005-0000-0000-00001D030000}"/>
    <cellStyle name="Standard 3 3 4 2" xfId="334" xr:uid="{00000000-0005-0000-0000-00001E030000}"/>
    <cellStyle name="Standard 3 3 4 2 2" xfId="576" xr:uid="{00000000-0005-0000-0000-00001F030000}"/>
    <cellStyle name="Standard 3 3 4 2 3" xfId="843" xr:uid="{00000000-0005-0000-0000-000020030000}"/>
    <cellStyle name="Standard 3 3 4 2 4" xfId="1087" xr:uid="{00000000-0005-0000-0000-000021030000}"/>
    <cellStyle name="Standard 3 3 4 3" xfId="455" xr:uid="{00000000-0005-0000-0000-000022030000}"/>
    <cellStyle name="Standard 3 3 4 4" xfId="722" xr:uid="{00000000-0005-0000-0000-000023030000}"/>
    <cellStyle name="Standard 3 3 4 5" xfId="966" xr:uid="{00000000-0005-0000-0000-000024030000}"/>
    <cellStyle name="Standard 3 3 5" xfId="294" xr:uid="{00000000-0005-0000-0000-000025030000}"/>
    <cellStyle name="Standard 3 3 5 2" xfId="536" xr:uid="{00000000-0005-0000-0000-000026030000}"/>
    <cellStyle name="Standard 3 3 5 3" xfId="803" xr:uid="{00000000-0005-0000-0000-000027030000}"/>
    <cellStyle name="Standard 3 3 5 4" xfId="1047" xr:uid="{00000000-0005-0000-0000-000028030000}"/>
    <cellStyle name="Standard 3 3 6" xfId="415" xr:uid="{00000000-0005-0000-0000-000029030000}"/>
    <cellStyle name="Standard 3 3 7" xfId="674" xr:uid="{00000000-0005-0000-0000-00002A030000}"/>
    <cellStyle name="Standard 3 3 8" xfId="926" xr:uid="{00000000-0005-0000-0000-00002B030000}"/>
    <cellStyle name="Standard 3 4" xfId="117" xr:uid="{00000000-0005-0000-0000-00002C030000}"/>
    <cellStyle name="Standard 3 4 2" xfId="118" xr:uid="{00000000-0005-0000-0000-00002D030000}"/>
    <cellStyle name="Standard 3 4 2 2" xfId="176" xr:uid="{00000000-0005-0000-0000-00002E030000}"/>
    <cellStyle name="Standard 3 4 2 2 2" xfId="257" xr:uid="{00000000-0005-0000-0000-00002F030000}"/>
    <cellStyle name="Standard 3 4 2 2 2 2" xfId="620" xr:uid="{00000000-0005-0000-0000-000030030000}"/>
    <cellStyle name="Standard 3 4 2 2 2 3" xfId="887" xr:uid="{00000000-0005-0000-0000-000031030000}"/>
    <cellStyle name="Standard 3 4 2 2 2 4" xfId="1131" xr:uid="{00000000-0005-0000-0000-000032030000}"/>
    <cellStyle name="Standard 3 4 2 2 3" xfId="378" xr:uid="{00000000-0005-0000-0000-000033030000}"/>
    <cellStyle name="Standard 3 4 2 2 4" xfId="499" xr:uid="{00000000-0005-0000-0000-000034030000}"/>
    <cellStyle name="Standard 3 4 2 2 5" xfId="766" xr:uid="{00000000-0005-0000-0000-000035030000}"/>
    <cellStyle name="Standard 3 4 2 2 6" xfId="1010" xr:uid="{00000000-0005-0000-0000-000036030000}"/>
    <cellStyle name="Standard 3 4 2 3" xfId="214" xr:uid="{00000000-0005-0000-0000-000037030000}"/>
    <cellStyle name="Standard 3 4 2 3 2" xfId="337" xr:uid="{00000000-0005-0000-0000-000038030000}"/>
    <cellStyle name="Standard 3 4 2 3 2 2" xfId="579" xr:uid="{00000000-0005-0000-0000-000039030000}"/>
    <cellStyle name="Standard 3 4 2 3 2 3" xfId="846" xr:uid="{00000000-0005-0000-0000-00003A030000}"/>
    <cellStyle name="Standard 3 4 2 3 2 4" xfId="1090" xr:uid="{00000000-0005-0000-0000-00003B030000}"/>
    <cellStyle name="Standard 3 4 2 3 3" xfId="458" xr:uid="{00000000-0005-0000-0000-00003C030000}"/>
    <cellStyle name="Standard 3 4 2 3 4" xfId="725" xr:uid="{00000000-0005-0000-0000-00003D030000}"/>
    <cellStyle name="Standard 3 4 2 3 5" xfId="969" xr:uid="{00000000-0005-0000-0000-00003E030000}"/>
    <cellStyle name="Standard 3 4 2 4" xfId="297" xr:uid="{00000000-0005-0000-0000-00003F030000}"/>
    <cellStyle name="Standard 3 4 2 4 2" xfId="539" xr:uid="{00000000-0005-0000-0000-000040030000}"/>
    <cellStyle name="Standard 3 4 2 4 3" xfId="806" xr:uid="{00000000-0005-0000-0000-000041030000}"/>
    <cellStyle name="Standard 3 4 2 4 4" xfId="1050" xr:uid="{00000000-0005-0000-0000-000042030000}"/>
    <cellStyle name="Standard 3 4 2 5" xfId="418" xr:uid="{00000000-0005-0000-0000-000043030000}"/>
    <cellStyle name="Standard 3 4 2 6" xfId="677" xr:uid="{00000000-0005-0000-0000-000044030000}"/>
    <cellStyle name="Standard 3 4 2 7" xfId="929" xr:uid="{00000000-0005-0000-0000-000045030000}"/>
    <cellStyle name="Standard 3 4 3" xfId="175" xr:uid="{00000000-0005-0000-0000-000046030000}"/>
    <cellStyle name="Standard 3 4 3 2" xfId="256" xr:uid="{00000000-0005-0000-0000-000047030000}"/>
    <cellStyle name="Standard 3 4 3 2 2" xfId="619" xr:uid="{00000000-0005-0000-0000-000048030000}"/>
    <cellStyle name="Standard 3 4 3 2 3" xfId="886" xr:uid="{00000000-0005-0000-0000-000049030000}"/>
    <cellStyle name="Standard 3 4 3 2 4" xfId="1130" xr:uid="{00000000-0005-0000-0000-00004A030000}"/>
    <cellStyle name="Standard 3 4 3 3" xfId="377" xr:uid="{00000000-0005-0000-0000-00004B030000}"/>
    <cellStyle name="Standard 3 4 3 4" xfId="498" xr:uid="{00000000-0005-0000-0000-00004C030000}"/>
    <cellStyle name="Standard 3 4 3 5" xfId="765" xr:uid="{00000000-0005-0000-0000-00004D030000}"/>
    <cellStyle name="Standard 3 4 3 6" xfId="1009" xr:uid="{00000000-0005-0000-0000-00004E030000}"/>
    <cellStyle name="Standard 3 4 4" xfId="215" xr:uid="{00000000-0005-0000-0000-00004F030000}"/>
    <cellStyle name="Standard 3 4 4 2" xfId="336" xr:uid="{00000000-0005-0000-0000-000050030000}"/>
    <cellStyle name="Standard 3 4 4 2 2" xfId="578" xr:uid="{00000000-0005-0000-0000-000051030000}"/>
    <cellStyle name="Standard 3 4 4 2 3" xfId="845" xr:uid="{00000000-0005-0000-0000-000052030000}"/>
    <cellStyle name="Standard 3 4 4 2 4" xfId="1089" xr:uid="{00000000-0005-0000-0000-000053030000}"/>
    <cellStyle name="Standard 3 4 4 3" xfId="457" xr:uid="{00000000-0005-0000-0000-000054030000}"/>
    <cellStyle name="Standard 3 4 4 4" xfId="724" xr:uid="{00000000-0005-0000-0000-000055030000}"/>
    <cellStyle name="Standard 3 4 4 5" xfId="968" xr:uid="{00000000-0005-0000-0000-000056030000}"/>
    <cellStyle name="Standard 3 4 5" xfId="296" xr:uid="{00000000-0005-0000-0000-000057030000}"/>
    <cellStyle name="Standard 3 4 5 2" xfId="538" xr:uid="{00000000-0005-0000-0000-000058030000}"/>
    <cellStyle name="Standard 3 4 5 3" xfId="805" xr:uid="{00000000-0005-0000-0000-000059030000}"/>
    <cellStyle name="Standard 3 4 5 4" xfId="1049" xr:uid="{00000000-0005-0000-0000-00005A030000}"/>
    <cellStyle name="Standard 3 4 6" xfId="417" xr:uid="{00000000-0005-0000-0000-00005B030000}"/>
    <cellStyle name="Standard 3 4 7" xfId="676" xr:uid="{00000000-0005-0000-0000-00005C030000}"/>
    <cellStyle name="Standard 3 4 8" xfId="928" xr:uid="{00000000-0005-0000-0000-00005D030000}"/>
    <cellStyle name="Standard 3 5" xfId="119" xr:uid="{00000000-0005-0000-0000-00005E030000}"/>
    <cellStyle name="Standard 3 5 2" xfId="177" xr:uid="{00000000-0005-0000-0000-00005F030000}"/>
    <cellStyle name="Standard 3 5 2 2" xfId="258" xr:uid="{00000000-0005-0000-0000-000060030000}"/>
    <cellStyle name="Standard 3 5 2 2 2" xfId="621" xr:uid="{00000000-0005-0000-0000-000061030000}"/>
    <cellStyle name="Standard 3 5 2 2 3" xfId="888" xr:uid="{00000000-0005-0000-0000-000062030000}"/>
    <cellStyle name="Standard 3 5 2 2 4" xfId="1132" xr:uid="{00000000-0005-0000-0000-000063030000}"/>
    <cellStyle name="Standard 3 5 2 3" xfId="379" xr:uid="{00000000-0005-0000-0000-000064030000}"/>
    <cellStyle name="Standard 3 5 2 4" xfId="500" xr:uid="{00000000-0005-0000-0000-000065030000}"/>
    <cellStyle name="Standard 3 5 2 5" xfId="767" xr:uid="{00000000-0005-0000-0000-000066030000}"/>
    <cellStyle name="Standard 3 5 2 6" xfId="1011" xr:uid="{00000000-0005-0000-0000-000067030000}"/>
    <cellStyle name="Standard 3 5 3" xfId="216" xr:uid="{00000000-0005-0000-0000-000068030000}"/>
    <cellStyle name="Standard 3 5 3 2" xfId="338" xr:uid="{00000000-0005-0000-0000-000069030000}"/>
    <cellStyle name="Standard 3 5 3 2 2" xfId="580" xr:uid="{00000000-0005-0000-0000-00006A030000}"/>
    <cellStyle name="Standard 3 5 3 2 3" xfId="847" xr:uid="{00000000-0005-0000-0000-00006B030000}"/>
    <cellStyle name="Standard 3 5 3 2 4" xfId="1091" xr:uid="{00000000-0005-0000-0000-00006C030000}"/>
    <cellStyle name="Standard 3 5 3 3" xfId="459" xr:uid="{00000000-0005-0000-0000-00006D030000}"/>
    <cellStyle name="Standard 3 5 3 4" xfId="726" xr:uid="{00000000-0005-0000-0000-00006E030000}"/>
    <cellStyle name="Standard 3 5 3 5" xfId="970" xr:uid="{00000000-0005-0000-0000-00006F030000}"/>
    <cellStyle name="Standard 3 5 4" xfId="298" xr:uid="{00000000-0005-0000-0000-000070030000}"/>
    <cellStyle name="Standard 3 5 4 2" xfId="540" xr:uid="{00000000-0005-0000-0000-000071030000}"/>
    <cellStyle name="Standard 3 5 4 3" xfId="807" xr:uid="{00000000-0005-0000-0000-000072030000}"/>
    <cellStyle name="Standard 3 5 4 4" xfId="1051" xr:uid="{00000000-0005-0000-0000-000073030000}"/>
    <cellStyle name="Standard 3 5 5" xfId="419" xr:uid="{00000000-0005-0000-0000-000074030000}"/>
    <cellStyle name="Standard 3 5 6" xfId="678" xr:uid="{00000000-0005-0000-0000-000075030000}"/>
    <cellStyle name="Standard 3 5 7" xfId="930" xr:uid="{00000000-0005-0000-0000-000076030000}"/>
    <cellStyle name="Standard 3 6" xfId="120" xr:uid="{00000000-0005-0000-0000-000077030000}"/>
    <cellStyle name="Standard 3 6 2" xfId="178" xr:uid="{00000000-0005-0000-0000-000078030000}"/>
    <cellStyle name="Standard 3 6 2 2" xfId="259" xr:uid="{00000000-0005-0000-0000-000079030000}"/>
    <cellStyle name="Standard 3 6 2 2 2" xfId="622" xr:uid="{00000000-0005-0000-0000-00007A030000}"/>
    <cellStyle name="Standard 3 6 2 2 3" xfId="889" xr:uid="{00000000-0005-0000-0000-00007B030000}"/>
    <cellStyle name="Standard 3 6 2 2 4" xfId="1133" xr:uid="{00000000-0005-0000-0000-00007C030000}"/>
    <cellStyle name="Standard 3 6 2 3" xfId="380" xr:uid="{00000000-0005-0000-0000-00007D030000}"/>
    <cellStyle name="Standard 3 6 2 4" xfId="501" xr:uid="{00000000-0005-0000-0000-00007E030000}"/>
    <cellStyle name="Standard 3 6 2 5" xfId="768" xr:uid="{00000000-0005-0000-0000-00007F030000}"/>
    <cellStyle name="Standard 3 6 2 6" xfId="1012" xr:uid="{00000000-0005-0000-0000-000080030000}"/>
    <cellStyle name="Standard 3 6 3" xfId="217" xr:uid="{00000000-0005-0000-0000-000081030000}"/>
    <cellStyle name="Standard 3 6 3 2" xfId="339" xr:uid="{00000000-0005-0000-0000-000082030000}"/>
    <cellStyle name="Standard 3 6 3 2 2" xfId="581" xr:uid="{00000000-0005-0000-0000-000083030000}"/>
    <cellStyle name="Standard 3 6 3 2 3" xfId="848" xr:uid="{00000000-0005-0000-0000-000084030000}"/>
    <cellStyle name="Standard 3 6 3 2 4" xfId="1092" xr:uid="{00000000-0005-0000-0000-000085030000}"/>
    <cellStyle name="Standard 3 6 3 3" xfId="460" xr:uid="{00000000-0005-0000-0000-000086030000}"/>
    <cellStyle name="Standard 3 6 3 4" xfId="727" xr:uid="{00000000-0005-0000-0000-000087030000}"/>
    <cellStyle name="Standard 3 6 3 5" xfId="971" xr:uid="{00000000-0005-0000-0000-000088030000}"/>
    <cellStyle name="Standard 3 6 4" xfId="299" xr:uid="{00000000-0005-0000-0000-000089030000}"/>
    <cellStyle name="Standard 3 6 4 2" xfId="541" xr:uid="{00000000-0005-0000-0000-00008A030000}"/>
    <cellStyle name="Standard 3 6 4 3" xfId="808" xr:uid="{00000000-0005-0000-0000-00008B030000}"/>
    <cellStyle name="Standard 3 6 4 4" xfId="1052" xr:uid="{00000000-0005-0000-0000-00008C030000}"/>
    <cellStyle name="Standard 3 6 5" xfId="420" xr:uid="{00000000-0005-0000-0000-00008D030000}"/>
    <cellStyle name="Standard 3 6 6" xfId="679" xr:uid="{00000000-0005-0000-0000-00008E030000}"/>
    <cellStyle name="Standard 3 6 7" xfId="931" xr:uid="{00000000-0005-0000-0000-00008F030000}"/>
    <cellStyle name="Standard 3 7" xfId="165" xr:uid="{00000000-0005-0000-0000-000090030000}"/>
    <cellStyle name="Standard 3 7 2" xfId="246" xr:uid="{00000000-0005-0000-0000-000091030000}"/>
    <cellStyle name="Standard 3 7 2 2" xfId="609" xr:uid="{00000000-0005-0000-0000-000092030000}"/>
    <cellStyle name="Standard 3 7 2 3" xfId="876" xr:uid="{00000000-0005-0000-0000-000093030000}"/>
    <cellStyle name="Standard 3 7 2 4" xfId="1120" xr:uid="{00000000-0005-0000-0000-000094030000}"/>
    <cellStyle name="Standard 3 7 3" xfId="367" xr:uid="{00000000-0005-0000-0000-000095030000}"/>
    <cellStyle name="Standard 3 7 4" xfId="488" xr:uid="{00000000-0005-0000-0000-000096030000}"/>
    <cellStyle name="Standard 3 7 5" xfId="755" xr:uid="{00000000-0005-0000-0000-000097030000}"/>
    <cellStyle name="Standard 3 7 6" xfId="999" xr:uid="{00000000-0005-0000-0000-000098030000}"/>
    <cellStyle name="Standard 3 8" xfId="218" xr:uid="{00000000-0005-0000-0000-000099030000}"/>
    <cellStyle name="Standard 3 8 2" xfId="326" xr:uid="{00000000-0005-0000-0000-00009A030000}"/>
    <cellStyle name="Standard 3 8 2 2" xfId="568" xr:uid="{00000000-0005-0000-0000-00009B030000}"/>
    <cellStyle name="Standard 3 8 2 3" xfId="835" xr:uid="{00000000-0005-0000-0000-00009C030000}"/>
    <cellStyle name="Standard 3 8 2 4" xfId="1079" xr:uid="{00000000-0005-0000-0000-00009D030000}"/>
    <cellStyle name="Standard 3 8 3" xfId="447" xr:uid="{00000000-0005-0000-0000-00009E030000}"/>
    <cellStyle name="Standard 3 8 4" xfId="714" xr:uid="{00000000-0005-0000-0000-00009F030000}"/>
    <cellStyle name="Standard 3 8 5" xfId="958" xr:uid="{00000000-0005-0000-0000-0000A0030000}"/>
    <cellStyle name="Standard 3 9" xfId="286" xr:uid="{00000000-0005-0000-0000-0000A1030000}"/>
    <cellStyle name="Standard 3 9 2" xfId="528" xr:uid="{00000000-0005-0000-0000-0000A2030000}"/>
    <cellStyle name="Standard 3 9 3" xfId="795" xr:uid="{00000000-0005-0000-0000-0000A3030000}"/>
    <cellStyle name="Standard 3 9 4" xfId="1039" xr:uid="{00000000-0005-0000-0000-0000A4030000}"/>
    <cellStyle name="Standard 3 9 5" xfId="1149" xr:uid="{FD38FB89-CDF8-4BC9-8971-E99E5F1DB603}"/>
    <cellStyle name="Standard 4" xfId="121" xr:uid="{00000000-0005-0000-0000-0000A5030000}"/>
    <cellStyle name="Standard 4 10" xfId="680" xr:uid="{00000000-0005-0000-0000-0000A6030000}"/>
    <cellStyle name="Standard 4 11" xfId="932" xr:uid="{00000000-0005-0000-0000-0000A7030000}"/>
    <cellStyle name="Standard 4 2" xfId="122" xr:uid="{00000000-0005-0000-0000-0000A8030000}"/>
    <cellStyle name="Standard 4 2 2" xfId="123" xr:uid="{00000000-0005-0000-0000-0000A9030000}"/>
    <cellStyle name="Standard 4 2 2 2" xfId="181" xr:uid="{00000000-0005-0000-0000-0000AA030000}"/>
    <cellStyle name="Standard 4 2 2 2 2" xfId="262" xr:uid="{00000000-0005-0000-0000-0000AB030000}"/>
    <cellStyle name="Standard 4 2 2 2 2 2" xfId="625" xr:uid="{00000000-0005-0000-0000-0000AC030000}"/>
    <cellStyle name="Standard 4 2 2 2 2 3" xfId="892" xr:uid="{00000000-0005-0000-0000-0000AD030000}"/>
    <cellStyle name="Standard 4 2 2 2 2 4" xfId="1136" xr:uid="{00000000-0005-0000-0000-0000AE030000}"/>
    <cellStyle name="Standard 4 2 2 2 3" xfId="383" xr:uid="{00000000-0005-0000-0000-0000AF030000}"/>
    <cellStyle name="Standard 4 2 2 2 4" xfId="504" xr:uid="{00000000-0005-0000-0000-0000B0030000}"/>
    <cellStyle name="Standard 4 2 2 2 5" xfId="771" xr:uid="{00000000-0005-0000-0000-0000B1030000}"/>
    <cellStyle name="Standard 4 2 2 2 6" xfId="1015" xr:uid="{00000000-0005-0000-0000-0000B2030000}"/>
    <cellStyle name="Standard 4 2 2 3" xfId="219" xr:uid="{00000000-0005-0000-0000-0000B3030000}"/>
    <cellStyle name="Standard 4 2 2 3 2" xfId="342" xr:uid="{00000000-0005-0000-0000-0000B4030000}"/>
    <cellStyle name="Standard 4 2 2 3 2 2" xfId="584" xr:uid="{00000000-0005-0000-0000-0000B5030000}"/>
    <cellStyle name="Standard 4 2 2 3 2 3" xfId="851" xr:uid="{00000000-0005-0000-0000-0000B6030000}"/>
    <cellStyle name="Standard 4 2 2 3 2 4" xfId="1095" xr:uid="{00000000-0005-0000-0000-0000B7030000}"/>
    <cellStyle name="Standard 4 2 2 3 3" xfId="463" xr:uid="{00000000-0005-0000-0000-0000B8030000}"/>
    <cellStyle name="Standard 4 2 2 3 4" xfId="730" xr:uid="{00000000-0005-0000-0000-0000B9030000}"/>
    <cellStyle name="Standard 4 2 2 3 5" xfId="974" xr:uid="{00000000-0005-0000-0000-0000BA030000}"/>
    <cellStyle name="Standard 4 2 2 4" xfId="302" xr:uid="{00000000-0005-0000-0000-0000BB030000}"/>
    <cellStyle name="Standard 4 2 2 4 2" xfId="544" xr:uid="{00000000-0005-0000-0000-0000BC030000}"/>
    <cellStyle name="Standard 4 2 2 4 3" xfId="811" xr:uid="{00000000-0005-0000-0000-0000BD030000}"/>
    <cellStyle name="Standard 4 2 2 4 4" xfId="1055" xr:uid="{00000000-0005-0000-0000-0000BE030000}"/>
    <cellStyle name="Standard 4 2 2 5" xfId="423" xr:uid="{00000000-0005-0000-0000-0000BF030000}"/>
    <cellStyle name="Standard 4 2 2 6" xfId="682" xr:uid="{00000000-0005-0000-0000-0000C0030000}"/>
    <cellStyle name="Standard 4 2 2 7" xfId="934" xr:uid="{00000000-0005-0000-0000-0000C1030000}"/>
    <cellStyle name="Standard 4 2 3" xfId="180" xr:uid="{00000000-0005-0000-0000-0000C2030000}"/>
    <cellStyle name="Standard 4 2 3 2" xfId="261" xr:uid="{00000000-0005-0000-0000-0000C3030000}"/>
    <cellStyle name="Standard 4 2 3 2 2" xfId="624" xr:uid="{00000000-0005-0000-0000-0000C4030000}"/>
    <cellStyle name="Standard 4 2 3 2 3" xfId="891" xr:uid="{00000000-0005-0000-0000-0000C5030000}"/>
    <cellStyle name="Standard 4 2 3 2 4" xfId="1135" xr:uid="{00000000-0005-0000-0000-0000C6030000}"/>
    <cellStyle name="Standard 4 2 3 3" xfId="382" xr:uid="{00000000-0005-0000-0000-0000C7030000}"/>
    <cellStyle name="Standard 4 2 3 4" xfId="503" xr:uid="{00000000-0005-0000-0000-0000C8030000}"/>
    <cellStyle name="Standard 4 2 3 5" xfId="770" xr:uid="{00000000-0005-0000-0000-0000C9030000}"/>
    <cellStyle name="Standard 4 2 3 6" xfId="1014" xr:uid="{00000000-0005-0000-0000-0000CA030000}"/>
    <cellStyle name="Standard 4 2 4" xfId="220" xr:uid="{00000000-0005-0000-0000-0000CB030000}"/>
    <cellStyle name="Standard 4 2 4 2" xfId="341" xr:uid="{00000000-0005-0000-0000-0000CC030000}"/>
    <cellStyle name="Standard 4 2 4 2 2" xfId="583" xr:uid="{00000000-0005-0000-0000-0000CD030000}"/>
    <cellStyle name="Standard 4 2 4 2 3" xfId="850" xr:uid="{00000000-0005-0000-0000-0000CE030000}"/>
    <cellStyle name="Standard 4 2 4 2 4" xfId="1094" xr:uid="{00000000-0005-0000-0000-0000CF030000}"/>
    <cellStyle name="Standard 4 2 4 3" xfId="462" xr:uid="{00000000-0005-0000-0000-0000D0030000}"/>
    <cellStyle name="Standard 4 2 4 4" xfId="729" xr:uid="{00000000-0005-0000-0000-0000D1030000}"/>
    <cellStyle name="Standard 4 2 4 5" xfId="973" xr:uid="{00000000-0005-0000-0000-0000D2030000}"/>
    <cellStyle name="Standard 4 2 5" xfId="301" xr:uid="{00000000-0005-0000-0000-0000D3030000}"/>
    <cellStyle name="Standard 4 2 5 2" xfId="543" xr:uid="{00000000-0005-0000-0000-0000D4030000}"/>
    <cellStyle name="Standard 4 2 5 3" xfId="810" xr:uid="{00000000-0005-0000-0000-0000D5030000}"/>
    <cellStyle name="Standard 4 2 5 4" xfId="1054" xr:uid="{00000000-0005-0000-0000-0000D6030000}"/>
    <cellStyle name="Standard 4 2 6" xfId="422" xr:uid="{00000000-0005-0000-0000-0000D7030000}"/>
    <cellStyle name="Standard 4 2 7" xfId="681" xr:uid="{00000000-0005-0000-0000-0000D8030000}"/>
    <cellStyle name="Standard 4 2 8" xfId="933" xr:uid="{00000000-0005-0000-0000-0000D9030000}"/>
    <cellStyle name="Standard 4 3" xfId="124" xr:uid="{00000000-0005-0000-0000-0000DA030000}"/>
    <cellStyle name="Standard 4 3 2" xfId="125" xr:uid="{00000000-0005-0000-0000-0000DB030000}"/>
    <cellStyle name="Standard 4 3 2 2" xfId="183" xr:uid="{00000000-0005-0000-0000-0000DC030000}"/>
    <cellStyle name="Standard 4 3 2 2 2" xfId="264" xr:uid="{00000000-0005-0000-0000-0000DD030000}"/>
    <cellStyle name="Standard 4 3 2 2 2 2" xfId="627" xr:uid="{00000000-0005-0000-0000-0000DE030000}"/>
    <cellStyle name="Standard 4 3 2 2 2 3" xfId="894" xr:uid="{00000000-0005-0000-0000-0000DF030000}"/>
    <cellStyle name="Standard 4 3 2 2 2 4" xfId="1138" xr:uid="{00000000-0005-0000-0000-0000E0030000}"/>
    <cellStyle name="Standard 4 3 2 2 3" xfId="385" xr:uid="{00000000-0005-0000-0000-0000E1030000}"/>
    <cellStyle name="Standard 4 3 2 2 4" xfId="506" xr:uid="{00000000-0005-0000-0000-0000E2030000}"/>
    <cellStyle name="Standard 4 3 2 2 5" xfId="773" xr:uid="{00000000-0005-0000-0000-0000E3030000}"/>
    <cellStyle name="Standard 4 3 2 2 6" xfId="1017" xr:uid="{00000000-0005-0000-0000-0000E4030000}"/>
    <cellStyle name="Standard 4 3 2 3" xfId="221" xr:uid="{00000000-0005-0000-0000-0000E5030000}"/>
    <cellStyle name="Standard 4 3 2 3 2" xfId="344" xr:uid="{00000000-0005-0000-0000-0000E6030000}"/>
    <cellStyle name="Standard 4 3 2 3 2 2" xfId="586" xr:uid="{00000000-0005-0000-0000-0000E7030000}"/>
    <cellStyle name="Standard 4 3 2 3 2 3" xfId="853" xr:uid="{00000000-0005-0000-0000-0000E8030000}"/>
    <cellStyle name="Standard 4 3 2 3 2 4" xfId="1097" xr:uid="{00000000-0005-0000-0000-0000E9030000}"/>
    <cellStyle name="Standard 4 3 2 3 3" xfId="465" xr:uid="{00000000-0005-0000-0000-0000EA030000}"/>
    <cellStyle name="Standard 4 3 2 3 4" xfId="732" xr:uid="{00000000-0005-0000-0000-0000EB030000}"/>
    <cellStyle name="Standard 4 3 2 3 5" xfId="976" xr:uid="{00000000-0005-0000-0000-0000EC030000}"/>
    <cellStyle name="Standard 4 3 2 4" xfId="304" xr:uid="{00000000-0005-0000-0000-0000ED030000}"/>
    <cellStyle name="Standard 4 3 2 4 2" xfId="546" xr:uid="{00000000-0005-0000-0000-0000EE030000}"/>
    <cellStyle name="Standard 4 3 2 4 3" xfId="813" xr:uid="{00000000-0005-0000-0000-0000EF030000}"/>
    <cellStyle name="Standard 4 3 2 4 4" xfId="1057" xr:uid="{00000000-0005-0000-0000-0000F0030000}"/>
    <cellStyle name="Standard 4 3 2 5" xfId="425" xr:uid="{00000000-0005-0000-0000-0000F1030000}"/>
    <cellStyle name="Standard 4 3 2 6" xfId="684" xr:uid="{00000000-0005-0000-0000-0000F2030000}"/>
    <cellStyle name="Standard 4 3 2 7" xfId="936" xr:uid="{00000000-0005-0000-0000-0000F3030000}"/>
    <cellStyle name="Standard 4 3 3" xfId="182" xr:uid="{00000000-0005-0000-0000-0000F4030000}"/>
    <cellStyle name="Standard 4 3 3 2" xfId="263" xr:uid="{00000000-0005-0000-0000-0000F5030000}"/>
    <cellStyle name="Standard 4 3 3 2 2" xfId="626" xr:uid="{00000000-0005-0000-0000-0000F6030000}"/>
    <cellStyle name="Standard 4 3 3 2 3" xfId="893" xr:uid="{00000000-0005-0000-0000-0000F7030000}"/>
    <cellStyle name="Standard 4 3 3 2 4" xfId="1137" xr:uid="{00000000-0005-0000-0000-0000F8030000}"/>
    <cellStyle name="Standard 4 3 3 3" xfId="384" xr:uid="{00000000-0005-0000-0000-0000F9030000}"/>
    <cellStyle name="Standard 4 3 3 4" xfId="505" xr:uid="{00000000-0005-0000-0000-0000FA030000}"/>
    <cellStyle name="Standard 4 3 3 5" xfId="772" xr:uid="{00000000-0005-0000-0000-0000FB030000}"/>
    <cellStyle name="Standard 4 3 3 6" xfId="1016" xr:uid="{00000000-0005-0000-0000-0000FC030000}"/>
    <cellStyle name="Standard 4 3 4" xfId="222" xr:uid="{00000000-0005-0000-0000-0000FD030000}"/>
    <cellStyle name="Standard 4 3 4 2" xfId="343" xr:uid="{00000000-0005-0000-0000-0000FE030000}"/>
    <cellStyle name="Standard 4 3 4 2 2" xfId="585" xr:uid="{00000000-0005-0000-0000-0000FF030000}"/>
    <cellStyle name="Standard 4 3 4 2 3" xfId="852" xr:uid="{00000000-0005-0000-0000-000000040000}"/>
    <cellStyle name="Standard 4 3 4 2 4" xfId="1096" xr:uid="{00000000-0005-0000-0000-000001040000}"/>
    <cellStyle name="Standard 4 3 4 3" xfId="464" xr:uid="{00000000-0005-0000-0000-000002040000}"/>
    <cellStyle name="Standard 4 3 4 4" xfId="731" xr:uid="{00000000-0005-0000-0000-000003040000}"/>
    <cellStyle name="Standard 4 3 4 5" xfId="975" xr:uid="{00000000-0005-0000-0000-000004040000}"/>
    <cellStyle name="Standard 4 3 5" xfId="303" xr:uid="{00000000-0005-0000-0000-000005040000}"/>
    <cellStyle name="Standard 4 3 5 2" xfId="545" xr:uid="{00000000-0005-0000-0000-000006040000}"/>
    <cellStyle name="Standard 4 3 5 3" xfId="812" xr:uid="{00000000-0005-0000-0000-000007040000}"/>
    <cellStyle name="Standard 4 3 5 4" xfId="1056" xr:uid="{00000000-0005-0000-0000-000008040000}"/>
    <cellStyle name="Standard 4 3 6" xfId="424" xr:uid="{00000000-0005-0000-0000-000009040000}"/>
    <cellStyle name="Standard 4 3 7" xfId="683" xr:uid="{00000000-0005-0000-0000-00000A040000}"/>
    <cellStyle name="Standard 4 3 8" xfId="935" xr:uid="{00000000-0005-0000-0000-00000B040000}"/>
    <cellStyle name="Standard 4 4" xfId="126" xr:uid="{00000000-0005-0000-0000-00000C040000}"/>
    <cellStyle name="Standard 4 4 2" xfId="184" xr:uid="{00000000-0005-0000-0000-00000D040000}"/>
    <cellStyle name="Standard 4 4 2 2" xfId="265" xr:uid="{00000000-0005-0000-0000-00000E040000}"/>
    <cellStyle name="Standard 4 4 2 2 2" xfId="628" xr:uid="{00000000-0005-0000-0000-00000F040000}"/>
    <cellStyle name="Standard 4 4 2 2 3" xfId="895" xr:uid="{00000000-0005-0000-0000-000010040000}"/>
    <cellStyle name="Standard 4 4 2 2 4" xfId="1139" xr:uid="{00000000-0005-0000-0000-000011040000}"/>
    <cellStyle name="Standard 4 4 2 3" xfId="386" xr:uid="{00000000-0005-0000-0000-000012040000}"/>
    <cellStyle name="Standard 4 4 2 4" xfId="507" xr:uid="{00000000-0005-0000-0000-000013040000}"/>
    <cellStyle name="Standard 4 4 2 5" xfId="774" xr:uid="{00000000-0005-0000-0000-000014040000}"/>
    <cellStyle name="Standard 4 4 2 6" xfId="1018" xr:uid="{00000000-0005-0000-0000-000015040000}"/>
    <cellStyle name="Standard 4 4 3" xfId="223" xr:uid="{00000000-0005-0000-0000-000016040000}"/>
    <cellStyle name="Standard 4 4 3 2" xfId="345" xr:uid="{00000000-0005-0000-0000-000017040000}"/>
    <cellStyle name="Standard 4 4 3 2 2" xfId="587" xr:uid="{00000000-0005-0000-0000-000018040000}"/>
    <cellStyle name="Standard 4 4 3 2 3" xfId="854" xr:uid="{00000000-0005-0000-0000-000019040000}"/>
    <cellStyle name="Standard 4 4 3 2 4" xfId="1098" xr:uid="{00000000-0005-0000-0000-00001A040000}"/>
    <cellStyle name="Standard 4 4 3 3" xfId="466" xr:uid="{00000000-0005-0000-0000-00001B040000}"/>
    <cellStyle name="Standard 4 4 3 4" xfId="733" xr:uid="{00000000-0005-0000-0000-00001C040000}"/>
    <cellStyle name="Standard 4 4 3 5" xfId="977" xr:uid="{00000000-0005-0000-0000-00001D040000}"/>
    <cellStyle name="Standard 4 4 4" xfId="305" xr:uid="{00000000-0005-0000-0000-00001E040000}"/>
    <cellStyle name="Standard 4 4 4 2" xfId="547" xr:uid="{00000000-0005-0000-0000-00001F040000}"/>
    <cellStyle name="Standard 4 4 4 3" xfId="814" xr:uid="{00000000-0005-0000-0000-000020040000}"/>
    <cellStyle name="Standard 4 4 4 4" xfId="1058" xr:uid="{00000000-0005-0000-0000-000021040000}"/>
    <cellStyle name="Standard 4 4 5" xfId="426" xr:uid="{00000000-0005-0000-0000-000022040000}"/>
    <cellStyle name="Standard 4 4 6" xfId="685" xr:uid="{00000000-0005-0000-0000-000023040000}"/>
    <cellStyle name="Standard 4 4 7" xfId="937" xr:uid="{00000000-0005-0000-0000-000024040000}"/>
    <cellStyle name="Standard 4 5" xfId="127" xr:uid="{00000000-0005-0000-0000-000025040000}"/>
    <cellStyle name="Standard 4 5 2" xfId="185" xr:uid="{00000000-0005-0000-0000-000026040000}"/>
    <cellStyle name="Standard 4 5 2 2" xfId="266" xr:uid="{00000000-0005-0000-0000-000027040000}"/>
    <cellStyle name="Standard 4 5 2 2 2" xfId="629" xr:uid="{00000000-0005-0000-0000-000028040000}"/>
    <cellStyle name="Standard 4 5 2 2 3" xfId="896" xr:uid="{00000000-0005-0000-0000-000029040000}"/>
    <cellStyle name="Standard 4 5 2 2 4" xfId="1140" xr:uid="{00000000-0005-0000-0000-00002A040000}"/>
    <cellStyle name="Standard 4 5 2 3" xfId="387" xr:uid="{00000000-0005-0000-0000-00002B040000}"/>
    <cellStyle name="Standard 4 5 2 4" xfId="508" xr:uid="{00000000-0005-0000-0000-00002C040000}"/>
    <cellStyle name="Standard 4 5 2 5" xfId="775" xr:uid="{00000000-0005-0000-0000-00002D040000}"/>
    <cellStyle name="Standard 4 5 2 6" xfId="1019" xr:uid="{00000000-0005-0000-0000-00002E040000}"/>
    <cellStyle name="Standard 4 5 3" xfId="224" xr:uid="{00000000-0005-0000-0000-00002F040000}"/>
    <cellStyle name="Standard 4 5 3 2" xfId="346" xr:uid="{00000000-0005-0000-0000-000030040000}"/>
    <cellStyle name="Standard 4 5 3 2 2" xfId="588" xr:uid="{00000000-0005-0000-0000-000031040000}"/>
    <cellStyle name="Standard 4 5 3 2 3" xfId="855" xr:uid="{00000000-0005-0000-0000-000032040000}"/>
    <cellStyle name="Standard 4 5 3 2 4" xfId="1099" xr:uid="{00000000-0005-0000-0000-000033040000}"/>
    <cellStyle name="Standard 4 5 3 3" xfId="467" xr:uid="{00000000-0005-0000-0000-000034040000}"/>
    <cellStyle name="Standard 4 5 3 4" xfId="734" xr:uid="{00000000-0005-0000-0000-000035040000}"/>
    <cellStyle name="Standard 4 5 3 5" xfId="978" xr:uid="{00000000-0005-0000-0000-000036040000}"/>
    <cellStyle name="Standard 4 5 4" xfId="306" xr:uid="{00000000-0005-0000-0000-000037040000}"/>
    <cellStyle name="Standard 4 5 4 2" xfId="548" xr:uid="{00000000-0005-0000-0000-000038040000}"/>
    <cellStyle name="Standard 4 5 4 3" xfId="815" xr:uid="{00000000-0005-0000-0000-000039040000}"/>
    <cellStyle name="Standard 4 5 4 4" xfId="1059" xr:uid="{00000000-0005-0000-0000-00003A040000}"/>
    <cellStyle name="Standard 4 5 5" xfId="427" xr:uid="{00000000-0005-0000-0000-00003B040000}"/>
    <cellStyle name="Standard 4 5 6" xfId="686" xr:uid="{00000000-0005-0000-0000-00003C040000}"/>
    <cellStyle name="Standard 4 5 7" xfId="938" xr:uid="{00000000-0005-0000-0000-00003D040000}"/>
    <cellStyle name="Standard 4 6" xfId="179" xr:uid="{00000000-0005-0000-0000-00003E040000}"/>
    <cellStyle name="Standard 4 6 2" xfId="260" xr:uid="{00000000-0005-0000-0000-00003F040000}"/>
    <cellStyle name="Standard 4 6 2 2" xfId="623" xr:uid="{00000000-0005-0000-0000-000040040000}"/>
    <cellStyle name="Standard 4 6 2 3" xfId="890" xr:uid="{00000000-0005-0000-0000-000041040000}"/>
    <cellStyle name="Standard 4 6 2 4" xfId="1134" xr:uid="{00000000-0005-0000-0000-000042040000}"/>
    <cellStyle name="Standard 4 6 3" xfId="381" xr:uid="{00000000-0005-0000-0000-000043040000}"/>
    <cellStyle name="Standard 4 6 4" xfId="502" xr:uid="{00000000-0005-0000-0000-000044040000}"/>
    <cellStyle name="Standard 4 6 5" xfId="769" xr:uid="{00000000-0005-0000-0000-000045040000}"/>
    <cellStyle name="Standard 4 6 6" xfId="1013" xr:uid="{00000000-0005-0000-0000-000046040000}"/>
    <cellStyle name="Standard 4 7" xfId="225" xr:uid="{00000000-0005-0000-0000-000047040000}"/>
    <cellStyle name="Standard 4 7 2" xfId="340" xr:uid="{00000000-0005-0000-0000-000048040000}"/>
    <cellStyle name="Standard 4 7 2 2" xfId="582" xr:uid="{00000000-0005-0000-0000-000049040000}"/>
    <cellStyle name="Standard 4 7 2 3" xfId="849" xr:uid="{00000000-0005-0000-0000-00004A040000}"/>
    <cellStyle name="Standard 4 7 2 4" xfId="1093" xr:uid="{00000000-0005-0000-0000-00004B040000}"/>
    <cellStyle name="Standard 4 7 3" xfId="461" xr:uid="{00000000-0005-0000-0000-00004C040000}"/>
    <cellStyle name="Standard 4 7 4" xfId="728" xr:uid="{00000000-0005-0000-0000-00004D040000}"/>
    <cellStyle name="Standard 4 7 5" xfId="972" xr:uid="{00000000-0005-0000-0000-00004E040000}"/>
    <cellStyle name="Standard 4 8" xfId="300" xr:uid="{00000000-0005-0000-0000-00004F040000}"/>
    <cellStyle name="Standard 4 8 2" xfId="542" xr:uid="{00000000-0005-0000-0000-000050040000}"/>
    <cellStyle name="Standard 4 8 3" xfId="809" xr:uid="{00000000-0005-0000-0000-000051040000}"/>
    <cellStyle name="Standard 4 8 4" xfId="1053" xr:uid="{00000000-0005-0000-0000-000052040000}"/>
    <cellStyle name="Standard 4 9" xfId="421" xr:uid="{00000000-0005-0000-0000-000053040000}"/>
    <cellStyle name="Standard 5" xfId="144" xr:uid="{00000000-0005-0000-0000-000054040000}"/>
    <cellStyle name="Standard 5 2" xfId="226" xr:uid="{00000000-0005-0000-0000-000055040000}"/>
    <cellStyle name="Standard 5 2 2" xfId="589" xr:uid="{00000000-0005-0000-0000-000056040000}"/>
    <cellStyle name="Standard 5 2 3" xfId="856" xr:uid="{00000000-0005-0000-0000-000057040000}"/>
    <cellStyle name="Standard 5 2 4" xfId="1100" xr:uid="{00000000-0005-0000-0000-000058040000}"/>
    <cellStyle name="Standard 5 3" xfId="347" xr:uid="{00000000-0005-0000-0000-000059040000}"/>
    <cellStyle name="Standard 5 4" xfId="468" xr:uid="{00000000-0005-0000-0000-00005A040000}"/>
    <cellStyle name="Standard 5 5" xfId="735" xr:uid="{00000000-0005-0000-0000-00005B040000}"/>
    <cellStyle name="Standard 5 6" xfId="979" xr:uid="{00000000-0005-0000-0000-00005C040000}"/>
    <cellStyle name="Standard 6" xfId="631" xr:uid="{00000000-0005-0000-0000-00005D040000}"/>
    <cellStyle name="Standard 6 2" xfId="1143" xr:uid="{3D61BC16-ECF5-4B45-92BC-F872383FB645}"/>
    <cellStyle name="Standard 7" xfId="630" xr:uid="{00000000-0005-0000-0000-00005E040000}"/>
    <cellStyle name="Standard 7 2" xfId="1160" xr:uid="{E1797D36-BF8C-440C-9382-A0926B916945}"/>
    <cellStyle name="Standard 8" xfId="1159" xr:uid="{25A07DF2-6142-4589-9332-AAA44BA1E545}"/>
    <cellStyle name="Standard 9" xfId="1161" xr:uid="{EB8D7A8D-1F87-4E01-9891-72D1FCC2F7B0}"/>
    <cellStyle name="Überschrift" xfId="128" xr:uid="{00000000-0005-0000-0000-00005F040000}"/>
    <cellStyle name="Überschrift 1" xfId="129" xr:uid="{00000000-0005-0000-0000-000060040000}"/>
    <cellStyle name="Überschrift 1 2" xfId="130" xr:uid="{00000000-0005-0000-0000-000061040000}"/>
    <cellStyle name="Überschrift 1 3" xfId="688" xr:uid="{00000000-0005-0000-0000-000062040000}"/>
    <cellStyle name="Überschrift 2" xfId="131" xr:uid="{00000000-0005-0000-0000-000063040000}"/>
    <cellStyle name="Überschrift 2 2" xfId="132" xr:uid="{00000000-0005-0000-0000-000064040000}"/>
    <cellStyle name="Überschrift 2 3" xfId="689" xr:uid="{00000000-0005-0000-0000-000065040000}"/>
    <cellStyle name="Überschrift 3" xfId="133" xr:uid="{00000000-0005-0000-0000-000066040000}"/>
    <cellStyle name="Überschrift 3 2" xfId="134" xr:uid="{00000000-0005-0000-0000-000067040000}"/>
    <cellStyle name="Überschrift 3 2 2" xfId="1142" xr:uid="{00000000-0005-0000-0000-000068040000}"/>
    <cellStyle name="Überschrift 3 3" xfId="690" xr:uid="{00000000-0005-0000-0000-000069040000}"/>
    <cellStyle name="Überschrift 3 4" xfId="1141" xr:uid="{00000000-0005-0000-0000-00006A040000}"/>
    <cellStyle name="Überschrift 4" xfId="135" xr:uid="{00000000-0005-0000-0000-00006B040000}"/>
    <cellStyle name="Überschrift 4 2" xfId="136" xr:uid="{00000000-0005-0000-0000-00006C040000}"/>
    <cellStyle name="Überschrift 4 3" xfId="691" xr:uid="{00000000-0005-0000-0000-00006D040000}"/>
    <cellStyle name="Überschrift 5" xfId="137" xr:uid="{00000000-0005-0000-0000-00006E040000}"/>
    <cellStyle name="Überschrift 6" xfId="687" xr:uid="{00000000-0005-0000-0000-00006F040000}"/>
    <cellStyle name="Verknüpfte Zelle" xfId="138" xr:uid="{00000000-0005-0000-0000-000070040000}"/>
    <cellStyle name="Verknüpfte Zelle 2" xfId="139" xr:uid="{00000000-0005-0000-0000-000071040000}"/>
    <cellStyle name="Verknüpfte Zelle 3" xfId="692" xr:uid="{00000000-0005-0000-0000-000072040000}"/>
    <cellStyle name="Warnender Text" xfId="140" xr:uid="{00000000-0005-0000-0000-000073040000}"/>
    <cellStyle name="Warnender Text 2" xfId="141" xr:uid="{00000000-0005-0000-0000-000074040000}"/>
    <cellStyle name="Warnender Text 3" xfId="693" xr:uid="{00000000-0005-0000-0000-000075040000}"/>
    <cellStyle name="Zelle überprüfen" xfId="142" xr:uid="{00000000-0005-0000-0000-000076040000}"/>
    <cellStyle name="Zelle überprüfen 2" xfId="143" xr:uid="{00000000-0005-0000-0000-000077040000}"/>
    <cellStyle name="Zelle überprüfen 3" xfId="694" xr:uid="{00000000-0005-0000-0000-000078040000}"/>
  </cellStyles>
  <dxfs count="61">
    <dxf>
      <font>
        <strike val="0"/>
      </font>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strike val="0"/>
      </font>
      <fill>
        <patternFill>
          <bgColor rgb="FFFF0000"/>
        </patternFill>
      </fill>
    </dxf>
    <dxf>
      <fill>
        <patternFill>
          <bgColor rgb="FFFF0000"/>
        </patternFill>
      </fill>
    </dxf>
    <dxf>
      <font>
        <strike val="0"/>
      </font>
      <fill>
        <patternFill>
          <bgColor rgb="FFFF0000"/>
        </patternFill>
      </fill>
    </dxf>
    <dxf>
      <font>
        <color theme="6" tint="-0.24994659260841701"/>
      </font>
      <fill>
        <patternFill patternType="none">
          <bgColor auto="1"/>
        </patternFill>
      </fill>
    </dxf>
    <dxf>
      <font>
        <color rgb="FF9C0006"/>
      </font>
      <fill>
        <patternFill>
          <bgColor rgb="FFFFC7CE"/>
        </patternFill>
      </fill>
    </dxf>
    <dxf>
      <font>
        <color auto="1"/>
      </font>
      <fill>
        <patternFill>
          <bgColor rgb="FF92D050"/>
        </patternFill>
      </fill>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lor indexed="22"/>
      </font>
    </dxf>
    <dxf>
      <font>
        <condense val="0"/>
        <extend val="0"/>
        <color indexed="22"/>
      </font>
    </dxf>
    <dxf>
      <font>
        <color indexed="22"/>
      </font>
    </dxf>
    <dxf>
      <font>
        <color indexed="22"/>
      </font>
    </dxf>
    <dxf>
      <font>
        <color indexed="22"/>
      </font>
    </dxf>
    <dxf>
      <font>
        <color indexed="22"/>
      </font>
    </dxf>
    <dxf>
      <font>
        <condense val="0"/>
        <extend val="0"/>
        <color indexed="22"/>
      </font>
    </dxf>
  </dxfs>
  <tableStyles count="0" defaultTableStyle="TableStyleMedium9" defaultPivotStyle="PivotStyleLight16"/>
  <colors>
    <mruColors>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3.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Primärenergiebedarf Q</a:t>
            </a:r>
            <a:r>
              <a:rPr lang="de-DE" sz="1800" b="1" i="0" u="none" strike="noStrike" baseline="-25000">
                <a:effectLst/>
                <a:latin typeface="Arial" panose="020B0604020202020204" pitchFamily="34" charset="0"/>
                <a:cs typeface="Arial" panose="020B0604020202020204" pitchFamily="34" charset="0"/>
              </a:rPr>
              <a:t>p</a:t>
            </a:r>
            <a:r>
              <a:rPr lang="de-DE" b="1">
                <a:latin typeface="Arial" panose="020B0604020202020204" pitchFamily="34" charset="0"/>
                <a:cs typeface="Arial" panose="020B0604020202020204" pitchFamily="34" charset="0"/>
              </a:rPr>
              <a:t> </a:t>
            </a:r>
            <a:r>
              <a:rPr lang="de-DE">
                <a:latin typeface="Arial"/>
                <a:cs typeface="Arial"/>
              </a:rPr>
              <a:t>minderbeheizte Gebäude</a:t>
            </a:r>
            <a:endParaRPr lang="de-DE"/>
          </a:p>
        </c:rich>
      </c:tx>
      <c:overlay val="0"/>
    </c:title>
    <c:autoTitleDeleted val="0"/>
    <c:plotArea>
      <c:layout/>
      <c:lineChart>
        <c:grouping val="standard"/>
        <c:varyColors val="0"/>
        <c:ser>
          <c:idx val="0"/>
          <c:order val="0"/>
          <c:tx>
            <c:strRef>
              <c:f>'B1b Graphik'!$H$73:$I$73</c:f>
              <c:strCache>
                <c:ptCount val="1"/>
                <c:pt idx="0">
                  <c:v>Primärenergiebedarf</c:v>
                </c:pt>
              </c:strCache>
            </c:strRef>
          </c:tx>
          <c:spPr>
            <a:prstGeom prst="rect">
              <a:avLst/>
            </a:prstGeom>
            <a:ln w="22225">
              <a:solidFill>
                <a:schemeClr val="accent2"/>
              </a:solidFill>
            </a:ln>
          </c:spPr>
          <c:marker>
            <c:symbol val="none"/>
          </c:marker>
          <c:cat>
            <c:numRef>
              <c:f>'B1b Graphik'!$H$75:$H$105</c:f>
              <c:numCache>
                <c:formatCode>0.0</c:formatCode>
                <c:ptCount val="31"/>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pt idx="29">
                  <c:v>145</c:v>
                </c:pt>
                <c:pt idx="30">
                  <c:v>150</c:v>
                </c:pt>
              </c:numCache>
            </c:numRef>
          </c:cat>
          <c:val>
            <c:numRef>
              <c:f>'B1b Graphik'!$I$75:$I$105</c:f>
              <c:numCache>
                <c:formatCode>0.0</c:formatCode>
                <c:ptCount val="31"/>
                <c:pt idx="0">
                  <c:v>120</c:v>
                </c:pt>
                <c:pt idx="1">
                  <c:v>120</c:v>
                </c:pt>
                <c:pt idx="2">
                  <c:v>120</c:v>
                </c:pt>
                <c:pt idx="3">
                  <c:v>120</c:v>
                </c:pt>
                <c:pt idx="4">
                  <c:v>120</c:v>
                </c:pt>
                <c:pt idx="5">
                  <c:v>120</c:v>
                </c:pt>
                <c:pt idx="6">
                  <c:v>120</c:v>
                </c:pt>
                <c:pt idx="7">
                  <c:v>113.33333333333333</c:v>
                </c:pt>
                <c:pt idx="8">
                  <c:v>106.66666666666666</c:v>
                </c:pt>
                <c:pt idx="9">
                  <c:v>100</c:v>
                </c:pt>
                <c:pt idx="10">
                  <c:v>93.333333333333329</c:v>
                </c:pt>
                <c:pt idx="11">
                  <c:v>86.666666666666657</c:v>
                </c:pt>
                <c:pt idx="12">
                  <c:v>80</c:v>
                </c:pt>
                <c:pt idx="13">
                  <c:v>73.333333333333329</c:v>
                </c:pt>
                <c:pt idx="14">
                  <c:v>66.666666666666657</c:v>
                </c:pt>
                <c:pt idx="15">
                  <c:v>60</c:v>
                </c:pt>
                <c:pt idx="16">
                  <c:v>53.333333333333329</c:v>
                </c:pt>
                <c:pt idx="17">
                  <c:v>46.666666666666664</c:v>
                </c:pt>
                <c:pt idx="18">
                  <c:v>40</c:v>
                </c:pt>
                <c:pt idx="19">
                  <c:v>33.333333333333329</c:v>
                </c:pt>
                <c:pt idx="20">
                  <c:v>26.666666666666664</c:v>
                </c:pt>
                <c:pt idx="21">
                  <c:v>20</c:v>
                </c:pt>
                <c:pt idx="22">
                  <c:v>13.333333333333332</c:v>
                </c:pt>
                <c:pt idx="23">
                  <c:v>6.6666666666666661</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0-DE8A-4CF6-9768-147B25F43A1B}"/>
            </c:ext>
          </c:extLst>
        </c:ser>
        <c:dLbls>
          <c:showLegendKey val="0"/>
          <c:showVal val="0"/>
          <c:showCatName val="0"/>
          <c:showSerName val="0"/>
          <c:showPercent val="0"/>
          <c:showBubbleSize val="0"/>
        </c:dLbls>
        <c:smooth val="0"/>
        <c:axId val="103371008"/>
        <c:axId val="103371792"/>
      </c:lineChart>
      <c:catAx>
        <c:axId val="103371008"/>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p</a:t>
                </a:r>
                <a:r>
                  <a:rPr lang="de-DE">
                    <a:latin typeface="Arial"/>
                    <a:cs typeface="Arial"/>
                  </a:rPr>
                  <a:t> in</a:t>
                </a:r>
                <a:r>
                  <a:rPr lang="de-DE" baseline="0">
                    <a:latin typeface="Arial"/>
                    <a:cs typeface="Arial"/>
                  </a:rPr>
                  <a:t> </a:t>
                </a:r>
                <a:r>
                  <a:rPr lang="de-DE">
                    <a:latin typeface="Arial"/>
                    <a:cs typeface="Arial"/>
                  </a:rPr>
                  <a:t>kWh/(m²a)</a:t>
                </a:r>
                <a:endParaRPr lang="de-DE"/>
              </a:p>
            </c:rich>
          </c:tx>
          <c:overlay val="0"/>
        </c:title>
        <c:numFmt formatCode="0.0" sourceLinked="1"/>
        <c:majorTickMark val="out"/>
        <c:minorTickMark val="none"/>
        <c:tickLblPos val="nextTo"/>
        <c:txPr>
          <a:bodyPr rot="0" vert="horz" anchor="ctr" anchorCtr="0"/>
          <a:lstStyle/>
          <a:p>
            <a:pPr>
              <a:defRPr sz="1000" b="0" i="0" u="none" strike="noStrike">
                <a:solidFill>
                  <a:srgbClr val="000000"/>
                </a:solidFill>
                <a:latin typeface="Calibri"/>
                <a:ea typeface="Calibri"/>
                <a:cs typeface="Calibri"/>
              </a:defRPr>
            </a:pPr>
            <a:endParaRPr lang="de-DE"/>
          </a:p>
        </c:txPr>
        <c:crossAx val="103371792"/>
        <c:crosses val="autoZero"/>
        <c:auto val="0"/>
        <c:lblAlgn val="ctr"/>
        <c:lblOffset val="100"/>
        <c:tickLblSkip val="2"/>
        <c:noMultiLvlLbl val="0"/>
      </c:catAx>
      <c:valAx>
        <c:axId val="103371792"/>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1008"/>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Emissionen CO</a:t>
            </a:r>
            <a:r>
              <a:rPr lang="de-DE" sz="1800" b="1" i="0" u="none" strike="noStrike" baseline="-25000">
                <a:effectLst/>
                <a:latin typeface="Arial" panose="020B0604020202020204" pitchFamily="34" charset="0"/>
                <a:cs typeface="Arial" panose="020B0604020202020204" pitchFamily="34" charset="0"/>
              </a:rPr>
              <a:t>2</a:t>
            </a:r>
            <a:r>
              <a:rPr lang="de-DE" sz="1800" b="1" i="0" u="none" strike="noStrike" baseline="0">
                <a:effectLst/>
                <a:latin typeface="Arial" panose="020B0604020202020204" pitchFamily="34" charset="0"/>
                <a:cs typeface="Arial" panose="020B0604020202020204" pitchFamily="34" charset="0"/>
              </a:rPr>
              <a:t>-Äquivalente</a:t>
            </a:r>
            <a:r>
              <a:rPr lang="de-DE" b="1">
                <a:latin typeface="Arial" panose="020B0604020202020204" pitchFamily="34" charset="0"/>
                <a:cs typeface="Arial" panose="020B0604020202020204" pitchFamily="34" charset="0"/>
              </a:rPr>
              <a:t> </a:t>
            </a:r>
            <a:r>
              <a:rPr lang="de-DE" b="1">
                <a:latin typeface="Arial"/>
                <a:cs typeface="Arial"/>
              </a:rPr>
              <a:t>minderbeheizte</a:t>
            </a:r>
            <a:r>
              <a:rPr lang="de-DE" b="1" baseline="0">
                <a:latin typeface="Arial"/>
                <a:cs typeface="Arial"/>
              </a:rPr>
              <a:t> Gebäude</a:t>
            </a:r>
            <a:endParaRPr lang="de-DE"/>
          </a:p>
        </c:rich>
      </c:tx>
      <c:overlay val="0"/>
    </c:title>
    <c:autoTitleDeleted val="0"/>
    <c:plotArea>
      <c:layout/>
      <c:lineChart>
        <c:grouping val="standard"/>
        <c:varyColors val="0"/>
        <c:ser>
          <c:idx val="0"/>
          <c:order val="0"/>
          <c:tx>
            <c:strRef>
              <c:f>'B1b Graphik'!$K$73:$L$73</c:f>
              <c:strCache>
                <c:ptCount val="1"/>
                <c:pt idx="0">
                  <c:v>CO2-Äquivalente</c:v>
                </c:pt>
              </c:strCache>
            </c:strRef>
          </c:tx>
          <c:spPr>
            <a:prstGeom prst="rect">
              <a:avLst/>
            </a:prstGeom>
            <a:ln w="22225">
              <a:solidFill>
                <a:schemeClr val="accent2"/>
              </a:solidFill>
            </a:ln>
          </c:spPr>
          <c:marker>
            <c:symbol val="none"/>
          </c:marker>
          <c:cat>
            <c:numRef>
              <c:f>'B1b Graphik'!$K$75:$K$95</c:f>
              <c:numCache>
                <c:formatCode>0.0</c:formatCode>
                <c:ptCount val="21"/>
                <c:pt idx="0">
                  <c:v>0</c:v>
                </c:pt>
                <c:pt idx="1">
                  <c:v>2.5</c:v>
                </c:pt>
                <c:pt idx="2">
                  <c:v>5</c:v>
                </c:pt>
                <c:pt idx="3">
                  <c:v>7.5</c:v>
                </c:pt>
                <c:pt idx="4">
                  <c:v>10</c:v>
                </c:pt>
                <c:pt idx="5">
                  <c:v>12.5</c:v>
                </c:pt>
                <c:pt idx="6">
                  <c:v>15</c:v>
                </c:pt>
                <c:pt idx="7">
                  <c:v>17.5</c:v>
                </c:pt>
                <c:pt idx="8">
                  <c:v>20</c:v>
                </c:pt>
                <c:pt idx="9">
                  <c:v>22.5</c:v>
                </c:pt>
                <c:pt idx="10">
                  <c:v>25</c:v>
                </c:pt>
                <c:pt idx="11">
                  <c:v>27.5</c:v>
                </c:pt>
                <c:pt idx="12">
                  <c:v>30</c:v>
                </c:pt>
                <c:pt idx="13">
                  <c:v>32.5</c:v>
                </c:pt>
                <c:pt idx="14">
                  <c:v>35</c:v>
                </c:pt>
                <c:pt idx="15">
                  <c:v>37.5</c:v>
                </c:pt>
                <c:pt idx="16">
                  <c:v>40</c:v>
                </c:pt>
                <c:pt idx="17">
                  <c:v>42.5</c:v>
                </c:pt>
                <c:pt idx="18">
                  <c:v>45</c:v>
                </c:pt>
                <c:pt idx="19">
                  <c:v>47.5</c:v>
                </c:pt>
                <c:pt idx="20">
                  <c:v>50</c:v>
                </c:pt>
              </c:numCache>
            </c:numRef>
          </c:cat>
          <c:val>
            <c:numRef>
              <c:f>'B1b Graphik'!$L$75:$L$95</c:f>
              <c:numCache>
                <c:formatCode>0.0</c:formatCode>
                <c:ptCount val="21"/>
                <c:pt idx="0">
                  <c:v>135</c:v>
                </c:pt>
                <c:pt idx="1">
                  <c:v>135</c:v>
                </c:pt>
                <c:pt idx="2">
                  <c:v>135</c:v>
                </c:pt>
                <c:pt idx="3">
                  <c:v>135</c:v>
                </c:pt>
                <c:pt idx="4">
                  <c:v>135</c:v>
                </c:pt>
                <c:pt idx="5">
                  <c:v>135</c:v>
                </c:pt>
                <c:pt idx="6">
                  <c:v>135</c:v>
                </c:pt>
                <c:pt idx="7">
                  <c:v>135</c:v>
                </c:pt>
                <c:pt idx="8">
                  <c:v>135</c:v>
                </c:pt>
                <c:pt idx="9">
                  <c:v>135</c:v>
                </c:pt>
                <c:pt idx="10">
                  <c:v>135</c:v>
                </c:pt>
                <c:pt idx="11">
                  <c:v>101.25</c:v>
                </c:pt>
                <c:pt idx="12">
                  <c:v>67.5</c:v>
                </c:pt>
                <c:pt idx="13">
                  <c:v>33.75</c:v>
                </c:pt>
                <c:pt idx="14">
                  <c:v>0</c:v>
                </c:pt>
                <c:pt idx="15">
                  <c:v>0</c:v>
                </c:pt>
                <c:pt idx="16">
                  <c:v>0</c:v>
                </c:pt>
                <c:pt idx="17">
                  <c:v>0</c:v>
                </c:pt>
                <c:pt idx="18">
                  <c:v>0</c:v>
                </c:pt>
                <c:pt idx="19">
                  <c:v>0</c:v>
                </c:pt>
                <c:pt idx="20">
                  <c:v>0</c:v>
                </c:pt>
              </c:numCache>
            </c:numRef>
          </c:val>
          <c:smooth val="0"/>
          <c:extLst>
            <c:ext xmlns:c16="http://schemas.microsoft.com/office/drawing/2014/chart" uri="{C3380CC4-5D6E-409C-BE32-E72D297353CC}">
              <c16:uniqueId val="{00000000-3AE9-4273-A921-A9DD24A3795F}"/>
            </c:ext>
          </c:extLst>
        </c:ser>
        <c:dLbls>
          <c:showLegendKey val="0"/>
          <c:showVal val="0"/>
          <c:showCatName val="0"/>
          <c:showSerName val="0"/>
          <c:showPercent val="0"/>
          <c:showBubbleSize val="0"/>
        </c:dLbls>
        <c:smooth val="0"/>
        <c:axId val="103372184"/>
        <c:axId val="103364736"/>
      </c:lineChart>
      <c:catAx>
        <c:axId val="103372184"/>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a:latin typeface="Arial"/>
                    <a:cs typeface="Arial"/>
                  </a:rPr>
                  <a:t>CO</a:t>
                </a:r>
                <a:r>
                  <a:rPr lang="de-DE" baseline="-25000">
                    <a:latin typeface="Arial"/>
                    <a:cs typeface="Arial"/>
                  </a:rPr>
                  <a:t>2</a:t>
                </a:r>
                <a:r>
                  <a:rPr lang="de-DE" baseline="0">
                    <a:latin typeface="Arial"/>
                    <a:cs typeface="Arial"/>
                  </a:rPr>
                  <a:t>-Äquivalente</a:t>
                </a:r>
                <a:r>
                  <a:rPr lang="de-DE">
                    <a:latin typeface="Arial"/>
                    <a:cs typeface="Arial"/>
                  </a:rPr>
                  <a:t> in</a:t>
                </a:r>
                <a:r>
                  <a:rPr lang="de-DE" baseline="0">
                    <a:latin typeface="Arial"/>
                    <a:cs typeface="Arial"/>
                  </a:rPr>
                  <a:t> </a:t>
                </a:r>
                <a:r>
                  <a:rPr lang="de-DE">
                    <a:latin typeface="Arial"/>
                    <a:cs typeface="Arial"/>
                  </a:rPr>
                  <a:t>kg/(m²a)</a:t>
                </a:r>
                <a:endParaRPr lang="de-DE"/>
              </a:p>
            </c:rich>
          </c:tx>
          <c:overlay val="0"/>
        </c:title>
        <c:numFmt formatCode="0.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64736"/>
        <c:crosses val="autoZero"/>
        <c:auto val="1"/>
        <c:lblAlgn val="ctr"/>
        <c:lblOffset val="100"/>
        <c:tickLblSkip val="2"/>
        <c:tickMarkSkip val="1"/>
        <c:noMultiLvlLbl val="0"/>
      </c:catAx>
      <c:valAx>
        <c:axId val="103364736"/>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2184"/>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000000000000004" r="0.7000000000000004" t="0.78740157499999996" header="0.30000000000000021" footer="0.30000000000000021"/>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Heizwärmebedarf Q</a:t>
            </a:r>
            <a:r>
              <a:rPr lang="de-DE" sz="1800" b="1" i="0" u="none" strike="noStrike" baseline="-25000">
                <a:effectLst/>
                <a:latin typeface="Arial" panose="020B0604020202020204" pitchFamily="34" charset="0"/>
                <a:cs typeface="Arial" panose="020B0604020202020204" pitchFamily="34" charset="0"/>
              </a:rPr>
              <a:t>h,b</a:t>
            </a:r>
            <a:r>
              <a:rPr lang="de-DE" sz="1800" b="1" i="0" u="none" strike="noStrike" baseline="0">
                <a:latin typeface="Arial" panose="020B0604020202020204" pitchFamily="34" charset="0"/>
                <a:cs typeface="Arial" panose="020B0604020202020204" pitchFamily="34" charset="0"/>
              </a:rPr>
              <a:t> </a:t>
            </a:r>
            <a:r>
              <a:rPr lang="en-US">
                <a:latin typeface="Arial"/>
                <a:cs typeface="Arial"/>
              </a:rPr>
              <a:t>minderbeheizte Gebäude</a:t>
            </a:r>
            <a:endParaRPr lang="en-US"/>
          </a:p>
        </c:rich>
      </c:tx>
      <c:overlay val="0"/>
    </c:title>
    <c:autoTitleDeleted val="0"/>
    <c:plotArea>
      <c:layout/>
      <c:lineChart>
        <c:grouping val="standard"/>
        <c:varyColors val="0"/>
        <c:ser>
          <c:idx val="1"/>
          <c:order val="0"/>
          <c:tx>
            <c:strRef>
              <c:f>'B1b Graphik'!$B$73:$C$73</c:f>
              <c:strCache>
                <c:ptCount val="1"/>
                <c:pt idx="0">
                  <c:v>Heizwärmebedarf</c:v>
                </c:pt>
              </c:strCache>
            </c:strRef>
          </c:tx>
          <c:spPr>
            <a:ln w="22225"/>
          </c:spPr>
          <c:marker>
            <c:symbol val="none"/>
          </c:marker>
          <c:cat>
            <c:numRef>
              <c:f>'B1b Graphik'!$B$75:$B$93</c:f>
              <c:numCache>
                <c:formatCode>0.0</c:formatCode>
                <c:ptCount val="19"/>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numCache>
            </c:numRef>
          </c:cat>
          <c:val>
            <c:numRef>
              <c:f>'B1b Graphik'!$C$75:$C$93</c:f>
              <c:numCache>
                <c:formatCode>0.0</c:formatCode>
                <c:ptCount val="19"/>
                <c:pt idx="0">
                  <c:v>60</c:v>
                </c:pt>
                <c:pt idx="1">
                  <c:v>60</c:v>
                </c:pt>
                <c:pt idx="2">
                  <c:v>60</c:v>
                </c:pt>
                <c:pt idx="3">
                  <c:v>60</c:v>
                </c:pt>
                <c:pt idx="4">
                  <c:v>60</c:v>
                </c:pt>
                <c:pt idx="5">
                  <c:v>60</c:v>
                </c:pt>
                <c:pt idx="6">
                  <c:v>53.333333333333329</c:v>
                </c:pt>
                <c:pt idx="7">
                  <c:v>46.666666666666664</c:v>
                </c:pt>
                <c:pt idx="8">
                  <c:v>40</c:v>
                </c:pt>
                <c:pt idx="9">
                  <c:v>33.333333333333329</c:v>
                </c:pt>
                <c:pt idx="10">
                  <c:v>26.666666666666664</c:v>
                </c:pt>
                <c:pt idx="11">
                  <c:v>20</c:v>
                </c:pt>
                <c:pt idx="12">
                  <c:v>13.333333333333332</c:v>
                </c:pt>
                <c:pt idx="13">
                  <c:v>6.6666666666666661</c:v>
                </c:pt>
                <c:pt idx="14">
                  <c:v>0</c:v>
                </c:pt>
                <c:pt idx="15">
                  <c:v>0</c:v>
                </c:pt>
                <c:pt idx="16">
                  <c:v>0</c:v>
                </c:pt>
                <c:pt idx="17">
                  <c:v>0</c:v>
                </c:pt>
                <c:pt idx="18">
                  <c:v>0</c:v>
                </c:pt>
              </c:numCache>
            </c:numRef>
          </c:val>
          <c:smooth val="0"/>
          <c:extLst>
            <c:ext xmlns:c16="http://schemas.microsoft.com/office/drawing/2014/chart" uri="{C3380CC4-5D6E-409C-BE32-E72D297353CC}">
              <c16:uniqueId val="{00000000-8C1C-4D69-94CA-5EFBC6F870FC}"/>
            </c:ext>
          </c:extLst>
        </c:ser>
        <c:dLbls>
          <c:showLegendKey val="0"/>
          <c:showVal val="0"/>
          <c:showCatName val="0"/>
          <c:showSerName val="0"/>
          <c:showPercent val="0"/>
          <c:showBubbleSize val="0"/>
        </c:dLbls>
        <c:smooth val="0"/>
        <c:axId val="103365520"/>
        <c:axId val="103366304"/>
      </c:lineChart>
      <c:catAx>
        <c:axId val="103365520"/>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h,b</a:t>
                </a:r>
                <a:r>
                  <a:rPr lang="en-US" sz="1200">
                    <a:latin typeface="Arial"/>
                    <a:cs typeface="Arial"/>
                  </a:rPr>
                  <a:t> </a:t>
                </a:r>
                <a:r>
                  <a:rPr lang="en-US" sz="1000">
                    <a:latin typeface="Arial"/>
                    <a:cs typeface="Arial"/>
                  </a:rPr>
                  <a:t>in</a:t>
                </a:r>
                <a:r>
                  <a:rPr lang="en-US" sz="1000" baseline="0">
                    <a:latin typeface="Arial"/>
                    <a:cs typeface="Arial"/>
                  </a:rPr>
                  <a:t> </a:t>
                </a:r>
                <a:r>
                  <a:rPr lang="en-US">
                    <a:latin typeface="Arial"/>
                    <a:cs typeface="Arial"/>
                  </a:rPr>
                  <a:t>kWh/(m²a)</a:t>
                </a:r>
                <a:endParaRPr lang="en-US"/>
              </a:p>
            </c:rich>
          </c:tx>
          <c:overlay val="0"/>
        </c:title>
        <c:numFmt formatCode="0.0" sourceLinked="1"/>
        <c:majorTickMark val="out"/>
        <c:minorTickMark val="none"/>
        <c:tickLblPos val="nextTo"/>
        <c:crossAx val="103366304"/>
        <c:crosses val="autoZero"/>
        <c:auto val="1"/>
        <c:lblAlgn val="ctr"/>
        <c:lblOffset val="100"/>
        <c:tickLblSkip val="1"/>
        <c:tickMarkSkip val="1"/>
        <c:noMultiLvlLbl val="0"/>
      </c:catAx>
      <c:valAx>
        <c:axId val="103366304"/>
        <c:scaling>
          <c:orientation val="minMax"/>
          <c:max val="100"/>
          <c:min val="0"/>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0" sourceLinked="1"/>
        <c:majorTickMark val="out"/>
        <c:minorTickMark val="none"/>
        <c:tickLblPos val="nextTo"/>
        <c:crossAx val="103365520"/>
        <c:crosses val="autoZero"/>
        <c:crossBetween val="midCat"/>
        <c:majorUnit val="10"/>
      </c:valAx>
    </c:plotArea>
    <c:legend>
      <c:legendPos val="r"/>
      <c:overlay val="0"/>
    </c:legend>
    <c:plotVisOnly val="1"/>
    <c:dispBlanksAs val="gap"/>
    <c:showDLblsOverMax val="0"/>
  </c:chart>
  <c:printSettings>
    <c:headerFooter/>
    <c:pageMargins b="0.78740157499999996" l="0.7" r="0.7" t="0.78740157499999996" header="0.3" footer="0.3"/>
    <c:pageSetup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Kühlbedarf Q</a:t>
            </a:r>
            <a:r>
              <a:rPr lang="de-DE" sz="1800" b="1" i="0" u="none" strike="noStrike" baseline="-25000">
                <a:effectLst/>
                <a:latin typeface="Arial" panose="020B0604020202020204" pitchFamily="34" charset="0"/>
                <a:cs typeface="Arial" panose="020B0604020202020204" pitchFamily="34" charset="0"/>
              </a:rPr>
              <a:t>c,b</a:t>
            </a:r>
            <a:r>
              <a:rPr lang="de-DE" sz="1800" b="1" i="0" u="none" strike="noStrike" baseline="0">
                <a:latin typeface="Arial" panose="020B0604020202020204" pitchFamily="34" charset="0"/>
                <a:cs typeface="Arial" panose="020B0604020202020204" pitchFamily="34" charset="0"/>
              </a:rPr>
              <a:t> </a:t>
            </a:r>
            <a:r>
              <a:rPr lang="en-US" sz="1800" b="1" i="0" u="none" strike="noStrike" baseline="0">
                <a:latin typeface="Arial" panose="020B0604020202020204" pitchFamily="34" charset="0"/>
                <a:cs typeface="Arial" panose="020B0604020202020204" pitchFamily="34" charset="0"/>
              </a:rPr>
              <a:t>minderbeheizte Gebäude</a:t>
            </a:r>
          </a:p>
        </c:rich>
      </c:tx>
      <c:overlay val="0"/>
    </c:title>
    <c:autoTitleDeleted val="0"/>
    <c:plotArea>
      <c:layout/>
      <c:lineChart>
        <c:grouping val="standard"/>
        <c:varyColors val="0"/>
        <c:ser>
          <c:idx val="0"/>
          <c:order val="0"/>
          <c:tx>
            <c:strRef>
              <c:f>'B1b Graphik'!$E$73:$F$73</c:f>
              <c:strCache>
                <c:ptCount val="1"/>
                <c:pt idx="0">
                  <c:v>Kühlbedarf</c:v>
                </c:pt>
              </c:strCache>
            </c:strRef>
          </c:tx>
          <c:spPr>
            <a:ln w="22225"/>
          </c:spPr>
          <c:marker>
            <c:symbol val="none"/>
          </c:marker>
          <c:cat>
            <c:numRef>
              <c:f>'B1b Graphik'!$E$75:$E$90</c:f>
              <c:numCache>
                <c:formatCode>0.0</c:formatCode>
                <c:ptCount val="16"/>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numCache>
            </c:numRef>
          </c:cat>
          <c:val>
            <c:numRef>
              <c:f>'B1b Graphik'!$F$75:$F$90</c:f>
              <c:numCache>
                <c:formatCode>0.0</c:formatCode>
                <c:ptCount val="16"/>
                <c:pt idx="0">
                  <c:v>55</c:v>
                </c:pt>
                <c:pt idx="1">
                  <c:v>55</c:v>
                </c:pt>
                <c:pt idx="2">
                  <c:v>55</c:v>
                </c:pt>
                <c:pt idx="3">
                  <c:v>55</c:v>
                </c:pt>
                <c:pt idx="4">
                  <c:v>55</c:v>
                </c:pt>
                <c:pt idx="5">
                  <c:v>55</c:v>
                </c:pt>
                <c:pt idx="6">
                  <c:v>48.888888888888893</c:v>
                </c:pt>
                <c:pt idx="7">
                  <c:v>42.777777777777779</c:v>
                </c:pt>
                <c:pt idx="8">
                  <c:v>36.666666666666671</c:v>
                </c:pt>
                <c:pt idx="9">
                  <c:v>30.555555555555557</c:v>
                </c:pt>
                <c:pt idx="10">
                  <c:v>24.444444444444446</c:v>
                </c:pt>
                <c:pt idx="11">
                  <c:v>18.333333333333336</c:v>
                </c:pt>
                <c:pt idx="12">
                  <c:v>12.222222222222223</c:v>
                </c:pt>
                <c:pt idx="13">
                  <c:v>6.1111111111111116</c:v>
                </c:pt>
                <c:pt idx="14">
                  <c:v>0</c:v>
                </c:pt>
                <c:pt idx="15">
                  <c:v>0</c:v>
                </c:pt>
              </c:numCache>
            </c:numRef>
          </c:val>
          <c:smooth val="0"/>
          <c:extLst>
            <c:ext xmlns:c16="http://schemas.microsoft.com/office/drawing/2014/chart" uri="{C3380CC4-5D6E-409C-BE32-E72D297353CC}">
              <c16:uniqueId val="{00000000-BA22-4AF4-93AB-6E7BE30A2426}"/>
            </c:ext>
          </c:extLst>
        </c:ser>
        <c:dLbls>
          <c:showLegendKey val="0"/>
          <c:showVal val="0"/>
          <c:showCatName val="0"/>
          <c:showSerName val="0"/>
          <c:showPercent val="0"/>
          <c:showBubbleSize val="0"/>
        </c:dLbls>
        <c:smooth val="0"/>
        <c:axId val="104017064"/>
        <c:axId val="104017456"/>
      </c:lineChart>
      <c:catAx>
        <c:axId val="104017064"/>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c,b</a:t>
                </a:r>
                <a:r>
                  <a:rPr lang="en-US">
                    <a:latin typeface="Arial"/>
                    <a:cs typeface="Arial"/>
                  </a:rPr>
                  <a:t> in</a:t>
                </a:r>
                <a:r>
                  <a:rPr lang="en-US" baseline="0">
                    <a:latin typeface="Arial"/>
                    <a:cs typeface="Arial"/>
                  </a:rPr>
                  <a:t> </a:t>
                </a:r>
                <a:r>
                  <a:rPr lang="en-US">
                    <a:latin typeface="Arial"/>
                    <a:cs typeface="Arial"/>
                  </a:rPr>
                  <a:t>kWh/(m²a)</a:t>
                </a:r>
                <a:endParaRPr lang="en-US"/>
              </a:p>
            </c:rich>
          </c:tx>
          <c:overlay val="0"/>
        </c:title>
        <c:numFmt formatCode="0.0" sourceLinked="1"/>
        <c:majorTickMark val="out"/>
        <c:minorTickMark val="none"/>
        <c:tickLblPos val="nextTo"/>
        <c:crossAx val="104017456"/>
        <c:crosses val="autoZero"/>
        <c:auto val="1"/>
        <c:lblAlgn val="ctr"/>
        <c:lblOffset val="100"/>
        <c:tickMarkSkip val="1"/>
        <c:noMultiLvlLbl val="0"/>
      </c:catAx>
      <c:valAx>
        <c:axId val="104017456"/>
        <c:scaling>
          <c:orientation val="minMax"/>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0" sourceLinked="1"/>
        <c:majorTickMark val="out"/>
        <c:minorTickMark val="none"/>
        <c:tickLblPos val="nextTo"/>
        <c:crossAx val="104017064"/>
        <c:crosses val="autoZero"/>
        <c:crossBetween val="midCat"/>
      </c:valAx>
    </c:plotArea>
    <c:legend>
      <c:legendPos val="r"/>
      <c:overlay val="0"/>
    </c:legend>
    <c:plotVisOnly val="1"/>
    <c:dispBlanksAs val="gap"/>
    <c:showDLblsOverMax val="0"/>
  </c:chart>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330652</xdr:colOff>
      <xdr:row>37</xdr:row>
      <xdr:rowOff>35377</xdr:rowOff>
    </xdr:from>
    <xdr:to>
      <xdr:col>12</xdr:col>
      <xdr:colOff>367553</xdr:colOff>
      <xdr:row>52</xdr:row>
      <xdr:rowOff>73477</xdr:rowOff>
    </xdr:to>
    <xdr:graphicFrame macro="">
      <xdr:nvGraphicFramePr>
        <xdr:cNvPr id="2" name="Diagramm 1">
          <a:extLst>
            <a:ext uri="{FF2B5EF4-FFF2-40B4-BE49-F238E27FC236}">
              <a16:creationId xmlns:a16="http://schemas.microsoft.com/office/drawing/2014/main" id="{7C516287-80F2-42CF-8DEF-9D85F5CB6FE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311602</xdr:colOff>
      <xdr:row>54</xdr:row>
      <xdr:rowOff>70756</xdr:rowOff>
    </xdr:from>
    <xdr:to>
      <xdr:col>12</xdr:col>
      <xdr:colOff>385482</xdr:colOff>
      <xdr:row>69</xdr:row>
      <xdr:rowOff>34016</xdr:rowOff>
    </xdr:to>
    <xdr:graphicFrame macro="">
      <xdr:nvGraphicFramePr>
        <xdr:cNvPr id="3" name="Diagramm 2">
          <a:extLst>
            <a:ext uri="{FF2B5EF4-FFF2-40B4-BE49-F238E27FC236}">
              <a16:creationId xmlns:a16="http://schemas.microsoft.com/office/drawing/2014/main" id="{0A8FD3EA-0B97-4B52-81F8-6CDEFA16A62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304800</xdr:colOff>
      <xdr:row>3</xdr:row>
      <xdr:rowOff>123824</xdr:rowOff>
    </xdr:from>
    <xdr:to>
      <xdr:col>12</xdr:col>
      <xdr:colOff>349624</xdr:colOff>
      <xdr:row>18</xdr:row>
      <xdr:rowOff>152399</xdr:rowOff>
    </xdr:to>
    <xdr:graphicFrame macro="">
      <xdr:nvGraphicFramePr>
        <xdr:cNvPr id="4" name="Diagramm 3">
          <a:extLst>
            <a:ext uri="{FF2B5EF4-FFF2-40B4-BE49-F238E27FC236}">
              <a16:creationId xmlns:a16="http://schemas.microsoft.com/office/drawing/2014/main" id="{9AE6E01D-7CD6-4E7C-A6D5-DC070A47E6E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280925</xdr:colOff>
      <xdr:row>20</xdr:row>
      <xdr:rowOff>47006</xdr:rowOff>
    </xdr:from>
    <xdr:to>
      <xdr:col>12</xdr:col>
      <xdr:colOff>358589</xdr:colOff>
      <xdr:row>35</xdr:row>
      <xdr:rowOff>75580</xdr:rowOff>
    </xdr:to>
    <xdr:graphicFrame macro="">
      <xdr:nvGraphicFramePr>
        <xdr:cNvPr id="5" name="Diagramm 7">
          <a:extLst>
            <a:ext uri="{FF2B5EF4-FFF2-40B4-BE49-F238E27FC236}">
              <a16:creationId xmlns:a16="http://schemas.microsoft.com/office/drawing/2014/main" id="{9EFED79D-8255-4C38-A98F-77A37205932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8" Type="http://schemas.openxmlformats.org/officeDocument/2006/relationships/hyperlink" Target="https://lnb-info.de/images/LNB_QNG-Download/241016%20LNB_QNG%20Kriterienkatalog.pdf" TargetMode="External"/><Relationship Id="rId13" Type="http://schemas.openxmlformats.org/officeDocument/2006/relationships/hyperlink" Target="https://lnb-info.de/images/LNB_QNG-Download/241016%20LNB_QNG%20Kriterienkatalog.pdf" TargetMode="External"/><Relationship Id="rId18" Type="http://schemas.openxmlformats.org/officeDocument/2006/relationships/hyperlink" Target="https://lnb-info.de/images/LNB_QNG-Download/241016%20LNB_QNG%20Kriterienkatalog.pdf" TargetMode="External"/><Relationship Id="rId3" Type="http://schemas.openxmlformats.org/officeDocument/2006/relationships/hyperlink" Target="https://lnb-info.de/images/LNB_QNG-Download/241016%20LNB_QNG%20Kriterienkatalog.pdf" TargetMode="External"/><Relationship Id="rId21" Type="http://schemas.openxmlformats.org/officeDocument/2006/relationships/hyperlink" Target="https://lnb-info.de/images/LNB_QNG-Download/241016%20LNB_QNG%20Kriterienkatalog.pdf" TargetMode="External"/><Relationship Id="rId7" Type="http://schemas.openxmlformats.org/officeDocument/2006/relationships/hyperlink" Target="https://lnb-info.de/images/LNB_QNG-Download/241016%20LNB_QNG%20Kriterienkatalog.pdf" TargetMode="External"/><Relationship Id="rId12" Type="http://schemas.openxmlformats.org/officeDocument/2006/relationships/hyperlink" Target="https://lnb-info.de/images/LNB_QNG-Download/241016%20LNB_QNG%20Kriterienkatalog.pdf" TargetMode="External"/><Relationship Id="rId17" Type="http://schemas.openxmlformats.org/officeDocument/2006/relationships/hyperlink" Target="https://lnb-info.de/images/LNB_QNG-Download/241016%20LNB_QNG%20Kriterienkatalog.pdf" TargetMode="External"/><Relationship Id="rId2" Type="http://schemas.openxmlformats.org/officeDocument/2006/relationships/hyperlink" Target="https://lnb-info.de/images/LNB_QNG-Download/241016%20LNB_QNG%20Kriterienkatalog.pdf" TargetMode="External"/><Relationship Id="rId16" Type="http://schemas.openxmlformats.org/officeDocument/2006/relationships/hyperlink" Target="https://lnb-info.de/images/LNB_QNG-Download/241016%20LNB_QNG%20Kriterienkatalog.pdf" TargetMode="External"/><Relationship Id="rId20" Type="http://schemas.openxmlformats.org/officeDocument/2006/relationships/hyperlink" Target="https://lnb-info.de/images/LNB_QNG-Download/241016%20LNB_QNG%20Kriterienkatalog.pdf" TargetMode="External"/><Relationship Id="rId1" Type="http://schemas.openxmlformats.org/officeDocument/2006/relationships/hyperlink" Target="https://lnb-info.de/images/LNB_QNG-Download/241016%20LNB_QNG%20Kriterienkatalog.pdf" TargetMode="External"/><Relationship Id="rId6" Type="http://schemas.openxmlformats.org/officeDocument/2006/relationships/hyperlink" Target="https://lnb-info.de/images/LNB_QNG-Download/241016%20LNB_QNG%20Kriterienkatalog.pdf" TargetMode="External"/><Relationship Id="rId11" Type="http://schemas.openxmlformats.org/officeDocument/2006/relationships/hyperlink" Target="https://lnb-info.de/images/LNB_QNG-Download/241016%20LNB_QNG%20Kriterienkatalog.pdf" TargetMode="External"/><Relationship Id="rId5" Type="http://schemas.openxmlformats.org/officeDocument/2006/relationships/hyperlink" Target="https://lnb-info.de/images/LNB_QNG-Download/241016%20LNB_QNG%20Kriterienkatalog.pdf" TargetMode="External"/><Relationship Id="rId15" Type="http://schemas.openxmlformats.org/officeDocument/2006/relationships/hyperlink" Target="https://lnb-info.de/images/LNB_QNG-Download/241016%20LNB_QNG%20Kriterienkatalog.pdf" TargetMode="External"/><Relationship Id="rId10" Type="http://schemas.openxmlformats.org/officeDocument/2006/relationships/hyperlink" Target="https://lnb-info.de/images/LNB_QNG-Download/241016%20LNB_QNG%20Kriterienkatalog.pdf" TargetMode="External"/><Relationship Id="rId19" Type="http://schemas.openxmlformats.org/officeDocument/2006/relationships/hyperlink" Target="https://lnb-info.de/images/LNB_QNG-Download/241016%20LNB_QNG%20Kriterienkatalog.pdf" TargetMode="External"/><Relationship Id="rId4" Type="http://schemas.openxmlformats.org/officeDocument/2006/relationships/hyperlink" Target="https://lnb-info.de/images/LNB_QNG-Download/241016%20LNB_QNG%20Kriterienkatalog.pdf" TargetMode="External"/><Relationship Id="rId9" Type="http://schemas.openxmlformats.org/officeDocument/2006/relationships/hyperlink" Target="https://lnb-info.de/images/LNB_QNG-Download/241016%20LNB_QNG%20Kriterienkatalog.pdf" TargetMode="External"/><Relationship Id="rId14" Type="http://schemas.openxmlformats.org/officeDocument/2006/relationships/hyperlink" Target="https://lnb-info.de/images/LNB_QNG-Download/241016%20LNB_QNG%20Kriterienkatalog.pdf" TargetMode="External"/><Relationship Id="rId22" Type="http://schemas.openxmlformats.org/officeDocument/2006/relationships/printerSettings" Target="../printerSettings/printerSettings13.bin"/></Relationships>
</file>

<file path=xl/worksheets/_rels/sheet17.xml.rels><?xml version="1.0" encoding="UTF-8" standalone="yes"?>
<Relationships xmlns="http://schemas.openxmlformats.org/package/2006/relationships"><Relationship Id="rId1" Type="http://schemas.openxmlformats.org/officeDocument/2006/relationships/image" Target="../media/image1.png"/></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pageSetUpPr fitToPage="1"/>
  </sheetPr>
  <dimension ref="A1:D40"/>
  <sheetViews>
    <sheetView showGridLines="0" zoomScaleNormal="100" zoomScalePageLayoutView="145" workbookViewId="0">
      <selection activeCell="B40" sqref="B40"/>
    </sheetView>
  </sheetViews>
  <sheetFormatPr baseColWidth="10" defaultColWidth="11.453125" defaultRowHeight="12.5"/>
  <cols>
    <col min="1" max="1" width="43" customWidth="1"/>
    <col min="2" max="2" width="44.453125" customWidth="1"/>
    <col min="3" max="3" width="0" hidden="1" customWidth="1"/>
  </cols>
  <sheetData>
    <row r="1" spans="1:4" ht="12.75" customHeight="1">
      <c r="A1" s="160"/>
    </row>
    <row r="2" spans="1:4" ht="25.5" customHeight="1">
      <c r="A2" s="1204" t="s">
        <v>201</v>
      </c>
      <c r="B2" s="1205"/>
    </row>
    <row r="3" spans="1:4" ht="12.75" customHeight="1">
      <c r="A3" s="1205"/>
      <c r="B3" s="1205"/>
    </row>
    <row r="4" spans="1:4" ht="12.75" customHeight="1">
      <c r="A4" s="1205"/>
      <c r="B4" s="1205"/>
    </row>
    <row r="5" spans="1:4" ht="12.75" customHeight="1">
      <c r="A5" s="1205"/>
      <c r="B5" s="1205"/>
    </row>
    <row r="6" spans="1:4">
      <c r="A6" s="1205"/>
      <c r="B6" s="1205"/>
    </row>
    <row r="7" spans="1:4">
      <c r="A7" s="1205"/>
      <c r="B7" s="1205"/>
    </row>
    <row r="9" spans="1:4" ht="7.5" customHeight="1" thickBot="1"/>
    <row r="10" spans="1:4" ht="20.5" thickBot="1">
      <c r="A10" s="1202" t="s">
        <v>45</v>
      </c>
      <c r="B10" s="1202"/>
      <c r="D10" s="152"/>
    </row>
    <row r="11" spans="1:4" ht="5.25" customHeight="1">
      <c r="A11" s="160"/>
      <c r="B11" s="160"/>
    </row>
    <row r="12" spans="1:4" ht="20.25" customHeight="1">
      <c r="A12" s="324" t="s">
        <v>46</v>
      </c>
      <c r="B12" s="325"/>
    </row>
    <row r="13" spans="1:4" ht="20.25" customHeight="1">
      <c r="A13" s="324" t="s">
        <v>153</v>
      </c>
      <c r="B13" s="157"/>
    </row>
    <row r="14" spans="1:4" ht="20.25" customHeight="1">
      <c r="A14" s="324" t="s">
        <v>40</v>
      </c>
      <c r="B14" s="157"/>
    </row>
    <row r="15" spans="1:4" ht="20.25" customHeight="1">
      <c r="A15" s="324" t="s">
        <v>49</v>
      </c>
      <c r="B15" s="157"/>
    </row>
    <row r="16" spans="1:4" ht="20.25" customHeight="1">
      <c r="A16" s="324" t="s">
        <v>154</v>
      </c>
      <c r="B16" s="158"/>
    </row>
    <row r="17" spans="1:4" ht="20.25" customHeight="1">
      <c r="A17" s="324" t="s">
        <v>47</v>
      </c>
      <c r="B17" s="158"/>
    </row>
    <row r="18" spans="1:4" ht="20.25" customHeight="1" thickBot="1">
      <c r="A18" s="326" t="s">
        <v>155</v>
      </c>
      <c r="B18" s="419">
        <f>Punktevergabe!G9</f>
        <v>0</v>
      </c>
    </row>
    <row r="19" spans="1:4" ht="45" hidden="1" customHeight="1">
      <c r="A19" s="160"/>
      <c r="B19" s="160"/>
      <c r="C19">
        <v>0</v>
      </c>
    </row>
    <row r="20" spans="1:4" ht="18.75" customHeight="1" thickBot="1">
      <c r="A20" s="1203" t="s">
        <v>156</v>
      </c>
      <c r="B20" s="1203"/>
      <c r="C20">
        <v>-30</v>
      </c>
    </row>
    <row r="21" spans="1:4" ht="9.75" customHeight="1" thickBot="1">
      <c r="A21" s="160"/>
      <c r="B21" s="160"/>
      <c r="C21">
        <v>-50</v>
      </c>
    </row>
    <row r="22" spans="1:4" ht="24.75" customHeight="1">
      <c r="A22" s="425" t="s">
        <v>196</v>
      </c>
      <c r="B22" s="416"/>
      <c r="C22">
        <v>-60</v>
      </c>
      <c r="D22" s="152"/>
    </row>
    <row r="23" spans="1:4" ht="26.25" customHeight="1">
      <c r="A23" s="424" t="s">
        <v>197</v>
      </c>
      <c r="B23" s="176"/>
      <c r="C23">
        <v>-70</v>
      </c>
    </row>
    <row r="24" spans="1:4" ht="21.75" customHeight="1" thickBot="1">
      <c r="A24" s="426" t="s">
        <v>157</v>
      </c>
      <c r="B24" s="417"/>
    </row>
    <row r="25" spans="1:4" ht="12.75" customHeight="1">
      <c r="A25" s="160"/>
      <c r="B25" s="160"/>
    </row>
    <row r="26" spans="1:4" ht="20.25" customHeight="1">
      <c r="A26" s="1206" t="s">
        <v>192</v>
      </c>
      <c r="B26" s="1207"/>
    </row>
    <row r="27" spans="1:4" ht="8.25" customHeight="1">
      <c r="A27" s="1208"/>
      <c r="B27" s="1209"/>
    </row>
    <row r="28" spans="1:4">
      <c r="A28" s="1208"/>
      <c r="B28" s="1209"/>
    </row>
    <row r="29" spans="1:4">
      <c r="A29" s="1208"/>
      <c r="B29" s="1209"/>
    </row>
    <row r="30" spans="1:4">
      <c r="A30" s="1208"/>
      <c r="B30" s="1209"/>
    </row>
    <row r="31" spans="1:4">
      <c r="A31" s="1208"/>
      <c r="B31" s="1209"/>
    </row>
    <row r="32" spans="1:4">
      <c r="A32" s="1208"/>
      <c r="B32" s="1209"/>
    </row>
    <row r="33" spans="1:2">
      <c r="A33" s="1208"/>
      <c r="B33" s="1209"/>
    </row>
    <row r="34" spans="1:2">
      <c r="A34" s="1208"/>
      <c r="B34" s="1209"/>
    </row>
    <row r="35" spans="1:2">
      <c r="A35" s="1208"/>
      <c r="B35" s="1209"/>
    </row>
    <row r="36" spans="1:2">
      <c r="A36" s="1208"/>
      <c r="B36" s="1209"/>
    </row>
    <row r="37" spans="1:2" ht="5.25" customHeight="1">
      <c r="A37" s="1210"/>
      <c r="B37" s="1211"/>
    </row>
    <row r="38" spans="1:2">
      <c r="A38" s="160"/>
      <c r="B38" s="160"/>
    </row>
    <row r="39" spans="1:2" ht="25.5" customHeight="1">
      <c r="A39" s="324" t="s">
        <v>48</v>
      </c>
      <c r="B39" s="158"/>
    </row>
    <row r="40" spans="1:2" ht="83.25" customHeight="1">
      <c r="A40" s="324" t="s">
        <v>158</v>
      </c>
      <c r="B40" s="157" t="s">
        <v>7</v>
      </c>
    </row>
  </sheetData>
  <sheetProtection algorithmName="SHA-512" hashValue="Sbghoz8x+d4iLPBk3aJuoVHcpqVHiuUJ5/8AfVZUsn44umwwtUo63r2eDW0RHIRQoF8JdYTVKrzT7OACLxB1Yg==" saltValue="Ts0ijGiVaphPUiseYnV8+g==" spinCount="100000" sheet="1" selectLockedCells="1"/>
  <mergeCells count="4">
    <mergeCell ref="A10:B10"/>
    <mergeCell ref="A20:B20"/>
    <mergeCell ref="A2:B7"/>
    <mergeCell ref="A26:B37"/>
  </mergeCells>
  <dataValidations disablePrompts="1" count="1">
    <dataValidation type="list" allowBlank="1" showInputMessage="1" showErrorMessage="1" sqref="B19" xr:uid="{00000000-0002-0000-0000-000000000000}">
      <formula1>$C$19:$C$23</formula1>
    </dataValidation>
  </dataValidations>
  <printOptions horizontalCentered="1"/>
  <pageMargins left="0.59055118110236227" right="0.59055118110236227" top="0.59055118110236227" bottom="0.59055118110236227" header="0.31496062992125984" footer="0.31496062992125984"/>
  <pageSetup paperSize="9" scale="8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E549A2-55DA-44E5-B5AB-7948620D5A3D}">
  <sheetPr codeName="Tabelle9">
    <pageSetUpPr fitToPage="1"/>
  </sheetPr>
  <dimension ref="B1:M364"/>
  <sheetViews>
    <sheetView zoomScale="85" zoomScaleNormal="85" workbookViewId="0">
      <selection activeCell="C87" sqref="C87"/>
    </sheetView>
  </sheetViews>
  <sheetFormatPr baseColWidth="10" defaultColWidth="11.453125" defaultRowHeight="14"/>
  <cols>
    <col min="1" max="1" width="11.453125" style="403"/>
    <col min="2" max="8" width="11.54296875" style="403" customWidth="1"/>
    <col min="9" max="9" width="11.453125" style="403"/>
    <col min="10" max="10" width="11.54296875" style="403" customWidth="1"/>
    <col min="11" max="13" width="11.453125" style="403"/>
    <col min="14" max="14" width="7.81640625" style="403" customWidth="1"/>
    <col min="15" max="16384" width="11.453125" style="403"/>
  </cols>
  <sheetData>
    <row r="1" spans="2:13" ht="14.5" thickBot="1"/>
    <row r="2" spans="2:13" ht="14.25" customHeight="1">
      <c r="B2" s="1377" t="s">
        <v>152</v>
      </c>
      <c r="C2" s="1378"/>
      <c r="D2" s="1378"/>
      <c r="E2" s="1378"/>
      <c r="F2" s="1378"/>
      <c r="G2" s="1378"/>
      <c r="H2" s="1378"/>
      <c r="I2" s="1378"/>
      <c r="J2" s="1378"/>
      <c r="K2" s="1378"/>
      <c r="L2" s="1378"/>
      <c r="M2" s="1379"/>
    </row>
    <row r="3" spans="2:13" ht="15" customHeight="1" thickBot="1">
      <c r="B3" s="1380"/>
      <c r="C3" s="1381"/>
      <c r="D3" s="1381"/>
      <c r="E3" s="1381"/>
      <c r="F3" s="1381"/>
      <c r="G3" s="1381"/>
      <c r="H3" s="1381"/>
      <c r="I3" s="1381"/>
      <c r="J3" s="1381"/>
      <c r="K3" s="1381"/>
      <c r="L3" s="1381"/>
      <c r="M3" s="1382"/>
    </row>
    <row r="4" spans="2:13">
      <c r="B4" s="404"/>
      <c r="C4" s="404"/>
      <c r="D4" s="404"/>
      <c r="E4" s="404"/>
      <c r="F4" s="404"/>
      <c r="G4" s="404"/>
      <c r="H4" s="404"/>
      <c r="I4" s="404"/>
      <c r="J4" s="404"/>
      <c r="K4" s="404"/>
      <c r="L4" s="404"/>
      <c r="M4" s="404"/>
    </row>
    <row r="5" spans="2:13">
      <c r="B5" s="404"/>
      <c r="C5" s="404"/>
      <c r="D5" s="404"/>
      <c r="E5" s="404"/>
      <c r="F5" s="404"/>
      <c r="G5" s="404"/>
      <c r="H5" s="404"/>
      <c r="I5" s="404"/>
      <c r="J5" s="404"/>
      <c r="K5" s="404"/>
      <c r="L5" s="404"/>
      <c r="M5" s="404"/>
    </row>
    <row r="6" spans="2:13">
      <c r="B6" s="404"/>
      <c r="C6" s="404"/>
      <c r="D6" s="404"/>
      <c r="E6" s="404"/>
      <c r="F6" s="404"/>
      <c r="G6" s="404"/>
      <c r="H6" s="404"/>
      <c r="I6" s="404"/>
      <c r="J6" s="404"/>
      <c r="K6" s="404"/>
      <c r="L6" s="404"/>
      <c r="M6" s="404"/>
    </row>
    <row r="7" spans="2:13">
      <c r="B7" s="404"/>
      <c r="C7" s="404"/>
      <c r="D7" s="404"/>
      <c r="E7" s="404"/>
      <c r="F7" s="404"/>
      <c r="G7" s="404"/>
      <c r="H7" s="404"/>
      <c r="I7" s="404"/>
      <c r="J7" s="404"/>
      <c r="K7" s="404"/>
      <c r="L7" s="404"/>
      <c r="M7" s="404"/>
    </row>
    <row r="8" spans="2:13">
      <c r="B8" s="404"/>
      <c r="C8" s="404"/>
      <c r="D8" s="404"/>
      <c r="E8" s="404"/>
      <c r="F8" s="404"/>
      <c r="G8" s="404"/>
      <c r="H8" s="404"/>
      <c r="I8" s="404"/>
      <c r="J8" s="404"/>
      <c r="K8" s="404"/>
      <c r="L8" s="404"/>
      <c r="M8" s="404"/>
    </row>
    <row r="9" spans="2:13">
      <c r="B9" s="404"/>
      <c r="C9" s="404"/>
      <c r="D9" s="404"/>
      <c r="E9" s="404"/>
      <c r="F9" s="404"/>
      <c r="G9" s="404"/>
      <c r="H9" s="404"/>
      <c r="I9" s="404"/>
      <c r="J9" s="404"/>
      <c r="K9" s="404"/>
      <c r="L9" s="404"/>
      <c r="M9" s="404"/>
    </row>
    <row r="10" spans="2:13">
      <c r="B10" s="404"/>
      <c r="C10" s="404"/>
      <c r="D10" s="404"/>
      <c r="E10" s="404"/>
      <c r="F10" s="404"/>
      <c r="G10" s="404"/>
      <c r="H10" s="404"/>
      <c r="I10" s="404"/>
      <c r="J10" s="404"/>
      <c r="K10" s="404"/>
      <c r="L10" s="404"/>
      <c r="M10" s="404"/>
    </row>
    <row r="11" spans="2:13">
      <c r="B11" s="404"/>
      <c r="C11" s="404"/>
      <c r="D11" s="404"/>
      <c r="E11" s="404"/>
      <c r="F11" s="404"/>
      <c r="G11" s="404"/>
      <c r="H11" s="404"/>
      <c r="I11" s="404"/>
      <c r="J11" s="404"/>
      <c r="K11" s="404"/>
      <c r="L11" s="404"/>
      <c r="M11" s="404"/>
    </row>
    <row r="12" spans="2:13">
      <c r="B12" s="404"/>
      <c r="C12" s="404"/>
      <c r="D12" s="404"/>
      <c r="E12" s="404"/>
      <c r="F12" s="404"/>
      <c r="G12" s="404"/>
      <c r="H12" s="404"/>
      <c r="I12" s="404"/>
      <c r="J12" s="404"/>
      <c r="K12" s="404"/>
      <c r="L12" s="404"/>
      <c r="M12" s="404"/>
    </row>
    <row r="13" spans="2:13">
      <c r="B13" s="404"/>
      <c r="C13" s="404"/>
      <c r="D13" s="404"/>
      <c r="E13" s="404"/>
      <c r="F13" s="404"/>
      <c r="G13" s="404"/>
      <c r="H13" s="404"/>
      <c r="I13" s="404"/>
      <c r="J13" s="404"/>
      <c r="K13" s="404"/>
      <c r="L13" s="404"/>
      <c r="M13" s="404"/>
    </row>
    <row r="14" spans="2:13">
      <c r="B14" s="404"/>
      <c r="C14" s="404"/>
      <c r="D14" s="404"/>
      <c r="E14" s="404"/>
      <c r="F14" s="404"/>
      <c r="G14" s="404"/>
      <c r="H14" s="404"/>
      <c r="I14" s="404"/>
      <c r="J14" s="404"/>
      <c r="K14" s="404"/>
      <c r="L14" s="404"/>
      <c r="M14" s="404"/>
    </row>
    <row r="15" spans="2:13">
      <c r="B15" s="404"/>
      <c r="C15" s="404"/>
      <c r="D15" s="404"/>
      <c r="E15" s="404"/>
      <c r="F15" s="404"/>
      <c r="G15" s="404"/>
      <c r="H15" s="404"/>
      <c r="I15" s="404"/>
      <c r="J15" s="404"/>
      <c r="K15" s="404"/>
      <c r="L15" s="404"/>
      <c r="M15" s="404"/>
    </row>
    <row r="16" spans="2:13">
      <c r="B16" s="404"/>
      <c r="C16" s="404"/>
      <c r="D16" s="404"/>
      <c r="E16" s="404"/>
      <c r="F16" s="404"/>
      <c r="G16" s="404"/>
      <c r="H16" s="404"/>
      <c r="I16" s="404"/>
      <c r="J16" s="404"/>
      <c r="K16" s="404"/>
      <c r="L16" s="404"/>
      <c r="M16" s="404"/>
    </row>
    <row r="17" spans="2:13">
      <c r="B17" s="404"/>
      <c r="C17" s="404"/>
      <c r="D17" s="404"/>
      <c r="E17" s="404"/>
      <c r="F17" s="404"/>
      <c r="G17" s="404"/>
      <c r="H17" s="404"/>
      <c r="I17" s="404"/>
      <c r="J17" s="404"/>
      <c r="K17" s="404"/>
      <c r="L17" s="404"/>
      <c r="M17" s="404"/>
    </row>
    <row r="18" spans="2:13">
      <c r="B18" s="404"/>
      <c r="C18" s="404"/>
      <c r="D18" s="404"/>
      <c r="E18" s="404"/>
      <c r="F18" s="404"/>
      <c r="G18" s="404"/>
      <c r="H18" s="404"/>
      <c r="I18" s="404"/>
      <c r="J18" s="404"/>
      <c r="K18" s="404"/>
      <c r="L18" s="404"/>
      <c r="M18" s="404"/>
    </row>
    <row r="19" spans="2:13">
      <c r="B19" s="404"/>
      <c r="C19" s="404"/>
      <c r="D19" s="404"/>
      <c r="E19" s="404"/>
      <c r="F19" s="404"/>
      <c r="G19" s="404"/>
      <c r="H19" s="404"/>
      <c r="I19" s="404"/>
      <c r="J19" s="404"/>
      <c r="K19" s="404"/>
      <c r="L19" s="404"/>
      <c r="M19" s="404"/>
    </row>
    <row r="20" spans="2:13">
      <c r="B20" s="404"/>
      <c r="C20" s="404"/>
      <c r="D20" s="404"/>
      <c r="E20" s="404"/>
      <c r="F20" s="404"/>
      <c r="G20" s="404"/>
      <c r="H20" s="404"/>
      <c r="I20" s="404"/>
      <c r="J20" s="404"/>
      <c r="K20" s="404"/>
      <c r="L20" s="404"/>
      <c r="M20" s="404"/>
    </row>
    <row r="21" spans="2:13">
      <c r="B21" s="404"/>
      <c r="C21" s="404"/>
      <c r="D21" s="404"/>
      <c r="E21" s="404"/>
      <c r="F21" s="404"/>
      <c r="G21" s="404"/>
      <c r="H21" s="404"/>
      <c r="I21" s="404"/>
      <c r="J21" s="404"/>
      <c r="K21" s="404"/>
      <c r="L21" s="404"/>
      <c r="M21" s="404"/>
    </row>
    <row r="22" spans="2:13">
      <c r="B22" s="404"/>
      <c r="C22" s="404"/>
      <c r="D22" s="404"/>
      <c r="E22" s="404"/>
      <c r="F22" s="404"/>
      <c r="G22" s="404"/>
      <c r="H22" s="404"/>
      <c r="I22" s="404"/>
      <c r="J22" s="404"/>
      <c r="K22" s="404"/>
      <c r="L22" s="404"/>
      <c r="M22" s="404"/>
    </row>
    <row r="23" spans="2:13">
      <c r="B23" s="404"/>
      <c r="C23" s="404"/>
      <c r="D23" s="404"/>
      <c r="E23" s="404"/>
      <c r="F23" s="404"/>
      <c r="G23" s="404"/>
      <c r="H23" s="404"/>
      <c r="I23" s="404"/>
      <c r="J23" s="404"/>
      <c r="K23" s="404"/>
      <c r="L23" s="404"/>
      <c r="M23" s="404"/>
    </row>
    <row r="24" spans="2:13">
      <c r="B24" s="404"/>
      <c r="C24" s="404"/>
      <c r="D24" s="404"/>
      <c r="E24" s="404"/>
      <c r="F24" s="404"/>
      <c r="G24" s="404"/>
      <c r="H24" s="404"/>
      <c r="I24" s="404"/>
      <c r="J24" s="404"/>
      <c r="K24" s="404"/>
      <c r="L24" s="404"/>
      <c r="M24" s="404"/>
    </row>
    <row r="25" spans="2:13">
      <c r="B25" s="404"/>
      <c r="C25" s="404"/>
      <c r="D25" s="404"/>
      <c r="E25" s="404"/>
      <c r="F25" s="404"/>
      <c r="G25" s="404"/>
      <c r="H25" s="404"/>
      <c r="I25" s="404"/>
      <c r="J25" s="404"/>
      <c r="K25" s="404"/>
      <c r="L25" s="404"/>
      <c r="M25" s="404"/>
    </row>
    <row r="26" spans="2:13">
      <c r="B26" s="404"/>
      <c r="C26" s="404"/>
      <c r="D26" s="404"/>
      <c r="E26" s="404"/>
      <c r="F26" s="404"/>
      <c r="G26" s="404"/>
      <c r="H26" s="404"/>
      <c r="I26" s="404"/>
      <c r="J26" s="404"/>
      <c r="K26" s="404"/>
      <c r="L26" s="404"/>
      <c r="M26" s="404"/>
    </row>
    <row r="27" spans="2:13">
      <c r="B27" s="404"/>
      <c r="C27" s="404"/>
      <c r="D27" s="404"/>
      <c r="E27" s="404"/>
      <c r="F27" s="404"/>
      <c r="G27" s="404"/>
      <c r="H27" s="404"/>
      <c r="I27" s="404"/>
      <c r="J27" s="404"/>
      <c r="K27" s="404"/>
      <c r="L27" s="404"/>
      <c r="M27" s="404"/>
    </row>
    <row r="28" spans="2:13">
      <c r="B28" s="404"/>
      <c r="C28" s="404"/>
      <c r="D28" s="404"/>
      <c r="E28" s="404"/>
      <c r="F28" s="404"/>
      <c r="G28" s="404"/>
      <c r="H28" s="404"/>
      <c r="I28" s="404"/>
      <c r="J28" s="404"/>
      <c r="K28" s="404"/>
      <c r="L28" s="404"/>
      <c r="M28" s="404"/>
    </row>
    <row r="29" spans="2:13">
      <c r="B29" s="404"/>
      <c r="C29" s="404"/>
      <c r="D29" s="404"/>
      <c r="E29" s="404"/>
      <c r="F29" s="404"/>
      <c r="G29" s="404"/>
      <c r="H29" s="404"/>
      <c r="I29" s="404"/>
      <c r="J29" s="404"/>
      <c r="K29" s="404"/>
      <c r="L29" s="404"/>
      <c r="M29" s="404"/>
    </row>
    <row r="30" spans="2:13">
      <c r="B30" s="404"/>
      <c r="C30" s="404"/>
      <c r="D30" s="404"/>
      <c r="E30" s="404"/>
      <c r="F30" s="404"/>
      <c r="G30" s="404"/>
      <c r="H30" s="404"/>
      <c r="I30" s="404"/>
      <c r="J30" s="404"/>
      <c r="K30" s="404"/>
      <c r="L30" s="404"/>
      <c r="M30" s="404"/>
    </row>
    <row r="31" spans="2:13">
      <c r="B31" s="404"/>
      <c r="C31" s="404"/>
      <c r="D31" s="404"/>
      <c r="E31" s="404"/>
      <c r="F31" s="404"/>
      <c r="G31" s="404"/>
      <c r="H31" s="404"/>
      <c r="I31" s="404"/>
      <c r="J31" s="404"/>
      <c r="K31" s="404"/>
      <c r="L31" s="404"/>
      <c r="M31" s="404"/>
    </row>
    <row r="32" spans="2:13">
      <c r="B32" s="404"/>
      <c r="C32" s="404"/>
      <c r="D32" s="404"/>
      <c r="E32" s="404"/>
      <c r="F32" s="404"/>
      <c r="G32" s="404"/>
      <c r="H32" s="404"/>
      <c r="I32" s="404"/>
      <c r="J32" s="404"/>
      <c r="K32" s="404"/>
      <c r="L32" s="404"/>
      <c r="M32" s="404"/>
    </row>
    <row r="33" spans="2:13">
      <c r="B33" s="404"/>
      <c r="C33" s="404"/>
      <c r="D33" s="404"/>
      <c r="E33" s="404"/>
      <c r="F33" s="404"/>
      <c r="G33" s="404"/>
      <c r="H33" s="404"/>
      <c r="I33" s="404"/>
      <c r="J33" s="404"/>
      <c r="K33" s="404"/>
      <c r="L33" s="404"/>
      <c r="M33" s="404"/>
    </row>
    <row r="34" spans="2:13">
      <c r="B34" s="404"/>
      <c r="C34" s="404"/>
      <c r="D34" s="404"/>
      <c r="E34" s="404"/>
      <c r="F34" s="404"/>
      <c r="G34" s="404"/>
      <c r="H34" s="404"/>
      <c r="I34" s="404"/>
      <c r="J34" s="404"/>
      <c r="K34" s="404"/>
      <c r="L34" s="404"/>
      <c r="M34" s="404"/>
    </row>
    <row r="35" spans="2:13">
      <c r="B35" s="404"/>
      <c r="C35" s="404"/>
      <c r="D35" s="404"/>
      <c r="E35" s="404"/>
      <c r="F35" s="404"/>
      <c r="G35" s="404"/>
      <c r="H35" s="404"/>
      <c r="I35" s="404"/>
      <c r="J35" s="404"/>
      <c r="K35" s="404"/>
      <c r="L35" s="404"/>
      <c r="M35" s="404"/>
    </row>
    <row r="36" spans="2:13">
      <c r="B36" s="404"/>
      <c r="C36" s="404"/>
      <c r="D36" s="404"/>
      <c r="E36" s="404"/>
      <c r="F36" s="404"/>
      <c r="G36" s="404"/>
      <c r="H36" s="404"/>
      <c r="I36" s="404"/>
      <c r="J36" s="404"/>
      <c r="K36" s="404"/>
      <c r="L36" s="404"/>
      <c r="M36" s="404"/>
    </row>
    <row r="37" spans="2:13">
      <c r="B37" s="404"/>
      <c r="C37" s="404"/>
      <c r="D37" s="404"/>
      <c r="E37" s="404"/>
      <c r="F37" s="404"/>
      <c r="G37" s="404"/>
      <c r="H37" s="404"/>
      <c r="I37" s="404"/>
      <c r="J37" s="404"/>
      <c r="K37" s="404"/>
      <c r="L37" s="404"/>
      <c r="M37" s="404"/>
    </row>
    <row r="38" spans="2:13">
      <c r="B38" s="404"/>
      <c r="C38" s="404"/>
      <c r="D38" s="404"/>
      <c r="E38" s="404"/>
      <c r="F38" s="404"/>
      <c r="G38" s="404"/>
      <c r="H38" s="404"/>
      <c r="I38" s="404"/>
      <c r="J38" s="404"/>
      <c r="K38" s="404"/>
      <c r="L38" s="404"/>
      <c r="M38" s="404"/>
    </row>
    <row r="39" spans="2:13">
      <c r="B39" s="404"/>
      <c r="C39" s="404"/>
      <c r="D39" s="404"/>
      <c r="E39" s="404"/>
      <c r="F39" s="404"/>
      <c r="G39" s="404"/>
      <c r="H39" s="404"/>
      <c r="I39" s="404"/>
      <c r="J39" s="404"/>
      <c r="K39" s="404"/>
      <c r="L39" s="404"/>
      <c r="M39" s="404"/>
    </row>
    <row r="40" spans="2:13">
      <c r="B40" s="404"/>
      <c r="C40" s="404"/>
      <c r="D40" s="404"/>
      <c r="E40" s="404"/>
      <c r="F40" s="404"/>
      <c r="G40" s="404"/>
      <c r="H40" s="404"/>
      <c r="I40" s="404"/>
      <c r="J40" s="404"/>
      <c r="K40" s="404"/>
      <c r="L40" s="404"/>
      <c r="M40" s="404"/>
    </row>
    <row r="41" spans="2:13">
      <c r="B41" s="404"/>
      <c r="C41" s="404"/>
      <c r="D41" s="404"/>
      <c r="E41" s="404"/>
      <c r="F41" s="404"/>
      <c r="G41" s="404"/>
      <c r="H41" s="404"/>
      <c r="I41" s="404"/>
      <c r="J41" s="404"/>
      <c r="K41" s="404"/>
      <c r="L41" s="404"/>
      <c r="M41" s="404"/>
    </row>
    <row r="42" spans="2:13">
      <c r="B42" s="404"/>
      <c r="C42" s="404"/>
      <c r="D42" s="404"/>
      <c r="E42" s="404"/>
      <c r="F42" s="404"/>
      <c r="G42" s="404"/>
      <c r="H42" s="404"/>
      <c r="I42" s="404"/>
      <c r="J42" s="404"/>
      <c r="K42" s="404"/>
      <c r="L42" s="404"/>
      <c r="M42" s="404"/>
    </row>
    <row r="43" spans="2:13">
      <c r="B43" s="404"/>
      <c r="C43" s="404"/>
      <c r="D43" s="404"/>
      <c r="E43" s="404"/>
      <c r="F43" s="404"/>
      <c r="G43" s="404"/>
      <c r="H43" s="404"/>
      <c r="I43" s="404"/>
      <c r="J43" s="404"/>
      <c r="K43" s="404"/>
      <c r="L43" s="404"/>
      <c r="M43" s="404"/>
    </row>
    <row r="44" spans="2:13">
      <c r="B44" s="404"/>
      <c r="C44" s="404"/>
      <c r="D44" s="404"/>
      <c r="E44" s="404"/>
      <c r="F44" s="404"/>
      <c r="G44" s="404"/>
      <c r="H44" s="404"/>
      <c r="I44" s="404"/>
      <c r="J44" s="404"/>
      <c r="K44" s="404"/>
      <c r="L44" s="404"/>
      <c r="M44" s="404"/>
    </row>
    <row r="45" spans="2:13">
      <c r="B45" s="404"/>
      <c r="C45" s="404"/>
      <c r="D45" s="404"/>
      <c r="E45" s="404"/>
      <c r="F45" s="404"/>
      <c r="G45" s="404"/>
      <c r="H45" s="404"/>
      <c r="I45" s="404"/>
      <c r="J45" s="404"/>
      <c r="K45" s="404"/>
      <c r="L45" s="404"/>
      <c r="M45" s="404"/>
    </row>
    <row r="46" spans="2:13">
      <c r="B46" s="404"/>
      <c r="C46" s="404"/>
      <c r="D46" s="404"/>
      <c r="E46" s="404"/>
      <c r="F46" s="404"/>
      <c r="G46" s="404"/>
      <c r="H46" s="404"/>
      <c r="I46" s="404"/>
      <c r="J46" s="404"/>
      <c r="K46" s="404"/>
      <c r="L46" s="404"/>
      <c r="M46" s="404"/>
    </row>
    <row r="47" spans="2:13">
      <c r="B47" s="404"/>
      <c r="C47" s="404"/>
      <c r="D47" s="404"/>
      <c r="E47" s="404"/>
      <c r="F47" s="404"/>
      <c r="G47" s="404"/>
      <c r="H47" s="404"/>
      <c r="I47" s="404"/>
      <c r="J47" s="404"/>
      <c r="K47" s="404"/>
      <c r="L47" s="404"/>
      <c r="M47" s="404"/>
    </row>
    <row r="48" spans="2:13">
      <c r="B48" s="404"/>
      <c r="C48" s="404"/>
      <c r="D48" s="404"/>
      <c r="E48" s="404"/>
      <c r="F48" s="404"/>
      <c r="G48" s="404"/>
      <c r="H48" s="404"/>
      <c r="I48" s="404"/>
      <c r="J48" s="404"/>
      <c r="K48" s="404"/>
      <c r="L48" s="404"/>
      <c r="M48" s="404"/>
    </row>
    <row r="49" spans="2:13">
      <c r="B49" s="404"/>
      <c r="C49" s="404"/>
      <c r="D49" s="404"/>
      <c r="E49" s="404"/>
      <c r="F49" s="404"/>
      <c r="G49" s="404"/>
      <c r="H49" s="404"/>
      <c r="I49" s="404"/>
      <c r="J49" s="404"/>
      <c r="K49" s="404"/>
      <c r="L49" s="404"/>
      <c r="M49" s="404"/>
    </row>
    <row r="50" spans="2:13">
      <c r="B50" s="404"/>
      <c r="C50" s="404"/>
      <c r="D50" s="404"/>
      <c r="E50" s="404"/>
      <c r="F50" s="404"/>
      <c r="G50" s="404"/>
      <c r="H50" s="404"/>
      <c r="I50" s="404"/>
      <c r="J50" s="404"/>
      <c r="K50" s="404"/>
      <c r="L50" s="404"/>
      <c r="M50" s="404"/>
    </row>
    <row r="51" spans="2:13">
      <c r="B51" s="404"/>
      <c r="C51" s="404"/>
      <c r="D51" s="404"/>
      <c r="E51" s="404"/>
      <c r="F51" s="404"/>
      <c r="G51" s="404"/>
      <c r="H51" s="404"/>
      <c r="I51" s="404"/>
      <c r="J51" s="404"/>
      <c r="K51" s="404"/>
      <c r="L51" s="404"/>
      <c r="M51" s="404"/>
    </row>
    <row r="52" spans="2:13">
      <c r="B52" s="404"/>
      <c r="C52" s="404"/>
      <c r="D52" s="404"/>
      <c r="E52" s="404"/>
      <c r="F52" s="404"/>
      <c r="G52" s="404"/>
      <c r="H52" s="404"/>
      <c r="I52" s="404"/>
      <c r="J52" s="404"/>
      <c r="K52" s="404"/>
      <c r="L52" s="404"/>
      <c r="M52" s="404"/>
    </row>
    <row r="53" spans="2:13">
      <c r="B53" s="404"/>
      <c r="C53" s="404"/>
      <c r="D53" s="404"/>
      <c r="E53" s="404"/>
      <c r="F53" s="404"/>
      <c r="G53" s="404"/>
      <c r="H53" s="404"/>
      <c r="I53" s="404"/>
      <c r="J53" s="404"/>
      <c r="K53" s="404"/>
      <c r="L53" s="404"/>
      <c r="M53" s="404"/>
    </row>
    <row r="54" spans="2:13">
      <c r="B54" s="404"/>
      <c r="C54" s="404"/>
      <c r="D54" s="1383"/>
      <c r="E54" s="1383"/>
      <c r="F54" s="1383"/>
      <c r="G54" s="1383"/>
      <c r="H54" s="405"/>
      <c r="I54" s="1384"/>
      <c r="J54" s="1384"/>
      <c r="K54" s="1383"/>
      <c r="L54" s="1383"/>
      <c r="M54" s="404"/>
    </row>
    <row r="55" spans="2:13">
      <c r="B55" s="404"/>
      <c r="C55" s="406"/>
      <c r="D55" s="404"/>
      <c r="E55" s="404"/>
      <c r="F55" s="404"/>
      <c r="G55" s="404"/>
      <c r="H55" s="404"/>
      <c r="I55" s="407"/>
      <c r="J55" s="407"/>
      <c r="K55" s="404"/>
      <c r="L55" s="404"/>
      <c r="M55" s="404"/>
    </row>
    <row r="56" spans="2:13">
      <c r="B56" s="404"/>
      <c r="C56" s="404"/>
      <c r="D56" s="404"/>
      <c r="E56" s="404"/>
      <c r="F56" s="404"/>
      <c r="G56" s="404"/>
      <c r="H56" s="404"/>
      <c r="I56" s="404"/>
      <c r="J56" s="404"/>
      <c r="K56" s="404"/>
      <c r="L56" s="404"/>
      <c r="M56" s="404"/>
    </row>
    <row r="57" spans="2:13">
      <c r="B57" s="404"/>
      <c r="C57" s="404"/>
      <c r="D57" s="404"/>
      <c r="E57" s="404"/>
      <c r="F57" s="404"/>
      <c r="G57" s="404"/>
      <c r="H57" s="404"/>
      <c r="I57" s="404"/>
      <c r="J57" s="404"/>
      <c r="K57" s="404"/>
      <c r="L57" s="404"/>
      <c r="M57" s="404"/>
    </row>
    <row r="58" spans="2:13">
      <c r="B58" s="404"/>
      <c r="C58" s="404"/>
      <c r="D58" s="404"/>
      <c r="E58" s="404"/>
      <c r="F58" s="404"/>
      <c r="G58" s="404"/>
      <c r="H58" s="404"/>
      <c r="I58" s="404"/>
      <c r="J58" s="404"/>
      <c r="K58" s="404"/>
      <c r="L58" s="404"/>
      <c r="M58" s="404"/>
    </row>
    <row r="59" spans="2:13">
      <c r="B59" s="404"/>
      <c r="C59" s="404"/>
      <c r="D59" s="404"/>
      <c r="E59" s="404"/>
      <c r="F59" s="404"/>
      <c r="G59" s="404"/>
      <c r="H59" s="404"/>
      <c r="I59" s="404"/>
      <c r="J59" s="404"/>
      <c r="K59" s="404"/>
      <c r="L59" s="404"/>
      <c r="M59" s="404"/>
    </row>
    <row r="60" spans="2:13">
      <c r="B60" s="404"/>
      <c r="C60" s="404"/>
      <c r="D60" s="404"/>
      <c r="E60" s="404"/>
      <c r="F60" s="404"/>
      <c r="G60" s="404"/>
      <c r="H60" s="404"/>
      <c r="I60" s="404"/>
      <c r="J60" s="404"/>
      <c r="K60" s="404"/>
      <c r="L60" s="404"/>
      <c r="M60" s="404"/>
    </row>
    <row r="61" spans="2:13">
      <c r="B61" s="404"/>
      <c r="C61" s="404"/>
      <c r="D61" s="404"/>
      <c r="E61" s="404"/>
      <c r="F61" s="404"/>
      <c r="G61" s="404"/>
      <c r="H61" s="404"/>
      <c r="I61" s="404"/>
      <c r="J61" s="404"/>
      <c r="K61" s="404"/>
      <c r="L61" s="404"/>
      <c r="M61" s="404"/>
    </row>
    <row r="62" spans="2:13">
      <c r="B62" s="404"/>
      <c r="C62" s="404"/>
      <c r="D62" s="404"/>
      <c r="E62" s="404"/>
      <c r="F62" s="404"/>
      <c r="G62" s="404"/>
      <c r="H62" s="404"/>
      <c r="I62" s="404"/>
      <c r="J62" s="404"/>
      <c r="K62" s="404"/>
      <c r="L62" s="404"/>
      <c r="M62" s="404"/>
    </row>
    <row r="63" spans="2:13">
      <c r="B63" s="404"/>
      <c r="C63" s="404"/>
      <c r="D63" s="404"/>
      <c r="E63" s="404"/>
      <c r="F63" s="404"/>
      <c r="G63" s="404"/>
      <c r="H63" s="404"/>
      <c r="I63" s="404"/>
      <c r="J63" s="404"/>
      <c r="K63" s="404"/>
      <c r="L63" s="404"/>
      <c r="M63" s="404"/>
    </row>
    <row r="64" spans="2:13">
      <c r="B64" s="404"/>
      <c r="C64" s="404"/>
      <c r="D64" s="404"/>
      <c r="E64" s="404"/>
      <c r="F64" s="404"/>
      <c r="G64" s="404"/>
      <c r="H64" s="404"/>
      <c r="I64" s="404"/>
      <c r="J64" s="404"/>
      <c r="K64" s="404"/>
      <c r="L64" s="404"/>
      <c r="M64" s="404"/>
    </row>
    <row r="65" spans="2:13">
      <c r="B65" s="404"/>
      <c r="C65" s="404"/>
      <c r="D65" s="404"/>
      <c r="E65" s="404"/>
      <c r="F65" s="404"/>
      <c r="G65" s="404"/>
      <c r="H65" s="404"/>
      <c r="I65" s="404"/>
      <c r="J65" s="404"/>
      <c r="K65" s="404"/>
      <c r="L65" s="404"/>
      <c r="M65" s="404"/>
    </row>
    <row r="66" spans="2:13">
      <c r="B66" s="404"/>
      <c r="C66" s="404"/>
      <c r="D66" s="404"/>
      <c r="E66" s="404"/>
      <c r="F66" s="404"/>
      <c r="G66" s="404"/>
      <c r="H66" s="404"/>
      <c r="I66" s="404"/>
      <c r="J66" s="404"/>
      <c r="K66" s="404"/>
      <c r="L66" s="404"/>
      <c r="M66" s="404"/>
    </row>
    <row r="67" spans="2:13">
      <c r="B67" s="404"/>
      <c r="C67" s="404"/>
      <c r="D67" s="404"/>
      <c r="E67" s="404"/>
      <c r="F67" s="404"/>
      <c r="G67" s="404"/>
      <c r="H67" s="404"/>
      <c r="I67" s="404"/>
      <c r="J67" s="404"/>
      <c r="K67" s="404"/>
      <c r="L67" s="404"/>
      <c r="M67" s="404"/>
    </row>
    <row r="68" spans="2:13">
      <c r="B68" s="404"/>
      <c r="C68" s="404"/>
      <c r="D68" s="404"/>
      <c r="E68" s="404"/>
      <c r="F68" s="404"/>
      <c r="G68" s="404"/>
      <c r="H68" s="404"/>
      <c r="I68" s="404"/>
      <c r="J68" s="404"/>
      <c r="K68" s="404"/>
      <c r="L68" s="404"/>
      <c r="M68" s="404"/>
    </row>
    <row r="69" spans="2:13">
      <c r="B69" s="404"/>
      <c r="C69" s="404"/>
      <c r="D69" s="404"/>
      <c r="E69" s="404"/>
      <c r="F69" s="404"/>
      <c r="G69" s="404"/>
      <c r="H69" s="404"/>
      <c r="I69" s="404"/>
      <c r="J69" s="404"/>
      <c r="K69" s="404"/>
      <c r="L69" s="404"/>
      <c r="M69" s="404"/>
    </row>
    <row r="70" spans="2:13">
      <c r="B70" s="404"/>
      <c r="C70" s="404"/>
      <c r="D70" s="404"/>
      <c r="E70" s="404"/>
      <c r="F70" s="404"/>
      <c r="G70" s="404"/>
      <c r="H70" s="404"/>
      <c r="I70" s="404"/>
      <c r="J70" s="404"/>
      <c r="K70" s="404"/>
      <c r="L70" s="404"/>
      <c r="M70" s="404"/>
    </row>
    <row r="71" spans="2:13">
      <c r="B71" s="404"/>
      <c r="C71" s="404"/>
      <c r="D71" s="404"/>
      <c r="E71" s="404"/>
      <c r="F71" s="404"/>
      <c r="G71" s="404"/>
      <c r="H71" s="404"/>
      <c r="I71" s="404"/>
      <c r="J71" s="404"/>
      <c r="K71" s="404"/>
      <c r="L71" s="404"/>
      <c r="M71" s="404"/>
    </row>
    <row r="72" spans="2:13">
      <c r="B72" s="404"/>
      <c r="C72" s="404"/>
      <c r="D72" s="404"/>
      <c r="E72" s="404"/>
      <c r="F72" s="404"/>
      <c r="G72" s="404"/>
      <c r="H72" s="404"/>
      <c r="I72" s="404"/>
      <c r="J72" s="404"/>
      <c r="K72" s="404"/>
      <c r="L72" s="404"/>
      <c r="M72" s="404"/>
    </row>
    <row r="73" spans="2:13" ht="15.5">
      <c r="B73" s="1376" t="s">
        <v>66</v>
      </c>
      <c r="C73" s="1376"/>
      <c r="D73" s="404"/>
      <c r="E73" s="1376" t="s">
        <v>150</v>
      </c>
      <c r="F73" s="1376"/>
      <c r="G73" s="404"/>
      <c r="H73" s="1376" t="s">
        <v>18</v>
      </c>
      <c r="I73" s="1376"/>
      <c r="J73" s="404"/>
      <c r="K73" s="1376" t="s">
        <v>151</v>
      </c>
      <c r="L73" s="1376"/>
      <c r="M73" s="404"/>
    </row>
    <row r="74" spans="2:13">
      <c r="B74" s="408" t="s">
        <v>147</v>
      </c>
      <c r="C74" s="408" t="s">
        <v>4</v>
      </c>
      <c r="D74" s="409"/>
      <c r="E74" s="408" t="s">
        <v>147</v>
      </c>
      <c r="F74" s="408" t="s">
        <v>4</v>
      </c>
      <c r="G74" s="409"/>
      <c r="H74" s="408" t="s">
        <v>147</v>
      </c>
      <c r="I74" s="408" t="s">
        <v>4</v>
      </c>
      <c r="J74" s="409"/>
      <c r="K74" s="408" t="s">
        <v>147</v>
      </c>
      <c r="L74" s="408" t="s">
        <v>4</v>
      </c>
      <c r="M74" s="404"/>
    </row>
    <row r="75" spans="2:13">
      <c r="B75" s="410">
        <v>0</v>
      </c>
      <c r="C75" s="410">
        <f>IF(B75&lt;='B1b '!$G$27,'B1b '!$H$27,IF(AND(B75&lt;='B1b '!$G$26,B75&gt;'B1b '!$G$27),0+(('B1b '!$H$27-'B1b '!$H$26)/('B1b '!$G$27-'B1b '!$G$26))*(B75-'B1b '!$G$26),0))</f>
        <v>60</v>
      </c>
      <c r="D75" s="411"/>
      <c r="E75" s="410">
        <v>0</v>
      </c>
      <c r="F75" s="410">
        <f>IF(E75&lt;='B1b '!$G$29,'B1b '!$H$29,IF(AND(E75&lt;='B1b '!$G$28,E75&gt;'B1b '!$G$29),0+(('B1b '!$H$29-'B1b '!$H$28)/('B1b '!$G$29-'B1b '!$G$28))*(E75-'B1b '!$G$28),0))</f>
        <v>55</v>
      </c>
      <c r="G75" s="411"/>
      <c r="H75" s="410">
        <v>0</v>
      </c>
      <c r="I75" s="410">
        <f>IF(H75&lt;='B1b '!$G$31,'B1b '!$H$31,IF(AND(H75&lt;='B1b '!$G$30,H75&gt;'B1b '!$G$31),0+(('B1b '!$H$31-'B1b '!$H$30)/('B1b '!$G$31-'B1b '!$G$30))*(H75-'B1b '!$G$30),0))</f>
        <v>120</v>
      </c>
      <c r="J75" s="411"/>
      <c r="K75" s="410">
        <v>0</v>
      </c>
      <c r="L75" s="410">
        <f>IF(K75&lt;='B1b '!$G$33,'B1b '!$H$33,IF(AND(K75&lt;='B1b '!$G$32,K75&gt;'B1b '!$G$33),0+(('B1b '!$H$33-'B1b '!$H$32)/('B1b '!$G$33-'B1b '!$G$32))*(K75-'B1b '!$G$32),0))</f>
        <v>135</v>
      </c>
      <c r="M75" s="404"/>
    </row>
    <row r="76" spans="2:13">
      <c r="B76" s="410">
        <v>5</v>
      </c>
      <c r="C76" s="410">
        <f>IF(B76&lt;='B1b '!$G$27,'B1b '!$H$27,IF(AND(B76&lt;='B1b '!$G$26,B76&gt;'B1b '!$G$27),0+(('B1b '!$H$27-'B1b '!$H$26)/('B1b '!$G$27-'B1b '!$G$26))*(B76-'B1b '!$G$26),0))</f>
        <v>60</v>
      </c>
      <c r="D76" s="411"/>
      <c r="E76" s="410">
        <v>5</v>
      </c>
      <c r="F76" s="410">
        <f>IF(E76&lt;='B1b '!$G$29,'B1b '!$H$29,IF(AND(E76&lt;='B1b '!$G$28,E76&gt;'B1b '!$G$29),0+(('B1b '!$H$29-'B1b '!$H$28)/('B1b '!$G$29-'B1b '!$G$28))*(E76-'B1b '!$G$28),0))</f>
        <v>55</v>
      </c>
      <c r="G76" s="411"/>
      <c r="H76" s="410">
        <v>5</v>
      </c>
      <c r="I76" s="410">
        <f>IF(H76&lt;='B1b '!$G$31,'B1b '!$H$31,IF(AND(H76&lt;='B1b '!$G$30,H76&gt;'B1b '!$G$31),0+(('B1b '!$H$31-'B1b '!$H$30)/('B1b '!$G$31-'B1b '!$G$30))*(H76-'B1b '!$G$30),0))</f>
        <v>120</v>
      </c>
      <c r="J76" s="411"/>
      <c r="K76" s="410">
        <v>2.5</v>
      </c>
      <c r="L76" s="410">
        <f>IF(K76&lt;='B1b '!$G$33,'B1b '!$H$33,IF(AND(K76&lt;='B1b '!$G$32,K76&gt;'B1b '!$G$33),0+(('B1b '!$H$33-'B1b '!$H$32)/('B1b '!$G$33-'B1b '!$G$32))*(K76-'B1b '!$G$32),0))</f>
        <v>135</v>
      </c>
      <c r="M76" s="404"/>
    </row>
    <row r="77" spans="2:13">
      <c r="B77" s="410">
        <v>10</v>
      </c>
      <c r="C77" s="410">
        <f>IF(B77&lt;='B1b '!$G$27,'B1b '!$H$27,IF(AND(B77&lt;='B1b '!$G$26,B77&gt;'B1b '!$G$27),0+(('B1b '!$H$27-'B1b '!$H$26)/('B1b '!$G$27-'B1b '!$G$26))*(B77-'B1b '!$G$26),0))</f>
        <v>60</v>
      </c>
      <c r="D77" s="411"/>
      <c r="E77" s="410">
        <v>10</v>
      </c>
      <c r="F77" s="410">
        <f>IF(E77&lt;='B1b '!$G$29,'B1b '!$H$29,IF(AND(E77&lt;='B1b '!$G$28,E77&gt;'B1b '!$G$29),0+(('B1b '!$H$29-'B1b '!$H$28)/('B1b '!$G$29-'B1b '!$G$28))*(E77-'B1b '!$G$28),0))</f>
        <v>55</v>
      </c>
      <c r="G77" s="411"/>
      <c r="H77" s="410">
        <v>10</v>
      </c>
      <c r="I77" s="410">
        <f>IF(H77&lt;='B1b '!$G$31,'B1b '!$H$31,IF(AND(H77&lt;='B1b '!$G$30,H77&gt;'B1b '!$G$31),0+(('B1b '!$H$31-'B1b '!$H$30)/('B1b '!$G$31-'B1b '!$G$30))*(H77-'B1b '!$G$30),0))</f>
        <v>120</v>
      </c>
      <c r="J77" s="411"/>
      <c r="K77" s="410">
        <v>5</v>
      </c>
      <c r="L77" s="410">
        <f>IF(K77&lt;='B1b '!$G$33,'B1b '!$H$33,IF(AND(K77&lt;='B1b '!$G$32,K77&gt;'B1b '!$G$33),0+(('B1b '!$H$33-'B1b '!$H$32)/('B1b '!$G$33-'B1b '!$G$32))*(K77-'B1b '!$G$32),0))</f>
        <v>135</v>
      </c>
      <c r="M77" s="404"/>
    </row>
    <row r="78" spans="2:13">
      <c r="B78" s="410">
        <v>15</v>
      </c>
      <c r="C78" s="410">
        <f>IF(B78&lt;='B1b '!$G$27,'B1b '!$H$27,IF(AND(B78&lt;='B1b '!$G$26,B78&gt;'B1b '!$G$27),0+(('B1b '!$H$27-'B1b '!$H$26)/('B1b '!$G$27-'B1b '!$G$26))*(B78-'B1b '!$G$26),0))</f>
        <v>60</v>
      </c>
      <c r="D78" s="411"/>
      <c r="E78" s="410">
        <v>15</v>
      </c>
      <c r="F78" s="410">
        <f>IF(E78&lt;='B1b '!$G$29,'B1b '!$H$29,IF(AND(E78&lt;='B1b '!$G$28,E78&gt;'B1b '!$G$29),0+(('B1b '!$H$29-'B1b '!$H$28)/('B1b '!$G$29-'B1b '!$G$28))*(E78-'B1b '!$G$28),0))</f>
        <v>55</v>
      </c>
      <c r="G78" s="411"/>
      <c r="H78" s="410">
        <v>15</v>
      </c>
      <c r="I78" s="410">
        <f>IF(H78&lt;='B1b '!$G$31,'B1b '!$H$31,IF(AND(H78&lt;='B1b '!$G$30,H78&gt;'B1b '!$G$31),0+(('B1b '!$H$31-'B1b '!$H$30)/('B1b '!$G$31-'B1b '!$G$30))*(H78-'B1b '!$G$30),0))</f>
        <v>120</v>
      </c>
      <c r="J78" s="411"/>
      <c r="K78" s="410">
        <v>7.5</v>
      </c>
      <c r="L78" s="410">
        <f>IF(K78&lt;='B1b '!$G$33,'B1b '!$H$33,IF(AND(K78&lt;='B1b '!$G$32,K78&gt;'B1b '!$G$33),0+(('B1b '!$H$33-'B1b '!$H$32)/('B1b '!$G$33-'B1b '!$G$32))*(K78-'B1b '!$G$32),0))</f>
        <v>135</v>
      </c>
      <c r="M78" s="404"/>
    </row>
    <row r="79" spans="2:13">
      <c r="B79" s="410">
        <v>20</v>
      </c>
      <c r="C79" s="410">
        <f>IF(B79&lt;='B1b '!$G$27,'B1b '!$H$27,IF(AND(B79&lt;='B1b '!$G$26,B79&gt;'B1b '!$G$27),0+(('B1b '!$H$27-'B1b '!$H$26)/('B1b '!$G$27-'B1b '!$G$26))*(B79-'B1b '!$G$26),0))</f>
        <v>60</v>
      </c>
      <c r="D79" s="411"/>
      <c r="E79" s="410">
        <v>20</v>
      </c>
      <c r="F79" s="410">
        <f>IF(E79&lt;='B1b '!$G$29,'B1b '!$H$29,IF(AND(E79&lt;='B1b '!$G$28,E79&gt;'B1b '!$G$29),0+(('B1b '!$H$29-'B1b '!$H$28)/('B1b '!$G$29-'B1b '!$G$28))*(E79-'B1b '!$G$28),0))</f>
        <v>55</v>
      </c>
      <c r="G79" s="411"/>
      <c r="H79" s="410">
        <v>20</v>
      </c>
      <c r="I79" s="410">
        <f>IF(H79&lt;='B1b '!$G$31,'B1b '!$H$31,IF(AND(H79&lt;='B1b '!$G$30,H79&gt;'B1b '!$G$31),0+(('B1b '!$H$31-'B1b '!$H$30)/('B1b '!$G$31-'B1b '!$G$30))*(H79-'B1b '!$G$30),0))</f>
        <v>120</v>
      </c>
      <c r="J79" s="411"/>
      <c r="K79" s="410">
        <v>10</v>
      </c>
      <c r="L79" s="410">
        <f>IF(K79&lt;='B1b '!$G$33,'B1b '!$H$33,IF(AND(K79&lt;='B1b '!$G$32,K79&gt;'B1b '!$G$33),0+(('B1b '!$H$33-'B1b '!$H$32)/('B1b '!$G$33-'B1b '!$G$32))*(K79-'B1b '!$G$32),0))</f>
        <v>135</v>
      </c>
      <c r="M79" s="404"/>
    </row>
    <row r="80" spans="2:13">
      <c r="B80" s="410">
        <v>25</v>
      </c>
      <c r="C80" s="410">
        <f>IF(B80&lt;='B1b '!$G$27,'B1b '!$H$27,IF(AND(B80&lt;='B1b '!$G$26,B80&gt;'B1b '!$G$27),0+(('B1b '!$H$27-'B1b '!$H$26)/('B1b '!$G$27-'B1b '!$G$26))*(B80-'B1b '!$G$26),0))</f>
        <v>60</v>
      </c>
      <c r="D80" s="411"/>
      <c r="E80" s="410">
        <v>25</v>
      </c>
      <c r="F80" s="410">
        <f>IF(E80&lt;='B1b '!$G$29,'B1b '!$H$29,IF(AND(E80&lt;='B1b '!$G$28,E80&gt;'B1b '!$G$29),0+(('B1b '!$H$29-'B1b '!$H$28)/('B1b '!$G$29-'B1b '!$G$28))*(E80-'B1b '!$G$28),0))</f>
        <v>55</v>
      </c>
      <c r="G80" s="411"/>
      <c r="H80" s="410">
        <v>25</v>
      </c>
      <c r="I80" s="410">
        <f>IF(H80&lt;='B1b '!$G$31,'B1b '!$H$31,IF(AND(H80&lt;='B1b '!$G$30,H80&gt;'B1b '!$G$31),0+(('B1b '!$H$31-'B1b '!$H$30)/('B1b '!$G$31-'B1b '!$G$30))*(H80-'B1b '!$G$30),0))</f>
        <v>120</v>
      </c>
      <c r="J80" s="411"/>
      <c r="K80" s="410">
        <v>12.5</v>
      </c>
      <c r="L80" s="410">
        <f>IF(K80&lt;='B1b '!$G$33,'B1b '!$H$33,IF(AND(K80&lt;='B1b '!$G$32,K80&gt;'B1b '!$G$33),0+(('B1b '!$H$33-'B1b '!$H$32)/('B1b '!$G$33-'B1b '!$G$32))*(K80-'B1b '!$G$32),0))</f>
        <v>135</v>
      </c>
      <c r="M80" s="404"/>
    </row>
    <row r="81" spans="2:13">
      <c r="B81" s="410">
        <v>30</v>
      </c>
      <c r="C81" s="410">
        <f>IF(B81&lt;='B1b '!$G$27,'B1b '!$H$27,IF(AND(B81&lt;='B1b '!$G$26,B81&gt;'B1b '!$G$27),0+(('B1b '!$H$27-'B1b '!$H$26)/('B1b '!$G$27-'B1b '!$G$26))*(B81-'B1b '!$G$26),0))</f>
        <v>53.333333333333329</v>
      </c>
      <c r="D81" s="411"/>
      <c r="E81" s="410">
        <v>30</v>
      </c>
      <c r="F81" s="410">
        <f>IF(E81&lt;='B1b '!$G$29,'B1b '!$H$29,IF(AND(E81&lt;='B1b '!$G$28,E81&gt;'B1b '!$G$29),0+(('B1b '!$H$29-'B1b '!$H$28)/('B1b '!$G$29-'B1b '!$G$28))*(E81-'B1b '!$G$28),0))</f>
        <v>48.888888888888893</v>
      </c>
      <c r="G81" s="411"/>
      <c r="H81" s="410">
        <v>30</v>
      </c>
      <c r="I81" s="410">
        <f>IF(H81&lt;='B1b '!$G$31,'B1b '!$H$31,IF(AND(H81&lt;='B1b '!$G$30,H81&gt;'B1b '!$G$31),0+(('B1b '!$H$31-'B1b '!$H$30)/('B1b '!$G$31-'B1b '!$G$30))*(H81-'B1b '!$G$30),0))</f>
        <v>120</v>
      </c>
      <c r="J81" s="411"/>
      <c r="K81" s="410">
        <v>15</v>
      </c>
      <c r="L81" s="410">
        <f>IF(K81&lt;='B1b '!$G$33,'B1b '!$H$33,IF(AND(K81&lt;='B1b '!$G$32,K81&gt;'B1b '!$G$33),0+(('B1b '!$H$33-'B1b '!$H$32)/('B1b '!$G$33-'B1b '!$G$32))*(K81-'B1b '!$G$32),0))</f>
        <v>135</v>
      </c>
      <c r="M81" s="404"/>
    </row>
    <row r="82" spans="2:13">
      <c r="B82" s="410">
        <v>35</v>
      </c>
      <c r="C82" s="410">
        <f>IF(B82&lt;='B1b '!$G$27,'B1b '!$H$27,IF(AND(B82&lt;='B1b '!$G$26,B82&gt;'B1b '!$G$27),0+(('B1b '!$H$27-'B1b '!$H$26)/('B1b '!$G$27-'B1b '!$G$26))*(B82-'B1b '!$G$26),0))</f>
        <v>46.666666666666664</v>
      </c>
      <c r="D82" s="411"/>
      <c r="E82" s="410">
        <v>35</v>
      </c>
      <c r="F82" s="410">
        <f>IF(E82&lt;='B1b '!$G$29,'B1b '!$H$29,IF(AND(E82&lt;='B1b '!$G$28,E82&gt;'B1b '!$G$29),0+(('B1b '!$H$29-'B1b '!$H$28)/('B1b '!$G$29-'B1b '!$G$28))*(E82-'B1b '!$G$28),0))</f>
        <v>42.777777777777779</v>
      </c>
      <c r="G82" s="411"/>
      <c r="H82" s="410">
        <v>35</v>
      </c>
      <c r="I82" s="410">
        <f>IF(H82&lt;='B1b '!$G$31,'B1b '!$H$31,IF(AND(H82&lt;='B1b '!$G$30,H82&gt;'B1b '!$G$31),0+(('B1b '!$H$31-'B1b '!$H$30)/('B1b '!$G$31-'B1b '!$G$30))*(H82-'B1b '!$G$30),0))</f>
        <v>113.33333333333333</v>
      </c>
      <c r="J82" s="411"/>
      <c r="K82" s="410">
        <v>17.5</v>
      </c>
      <c r="L82" s="410">
        <f>IF(K82&lt;='B1b '!$G$33,'B1b '!$H$33,IF(AND(K82&lt;='B1b '!$G$32,K82&gt;'B1b '!$G$33),0+(('B1b '!$H$33-'B1b '!$H$32)/('B1b '!$G$33-'B1b '!$G$32))*(K82-'B1b '!$G$32),0))</f>
        <v>135</v>
      </c>
      <c r="M82" s="404"/>
    </row>
    <row r="83" spans="2:13">
      <c r="B83" s="410">
        <v>40</v>
      </c>
      <c r="C83" s="410">
        <f>IF(B83&lt;='B1b '!$G$27,'B1b '!$H$27,IF(AND(B83&lt;='B1b '!$G$26,B83&gt;'B1b '!$G$27),0+(('B1b '!$H$27-'B1b '!$H$26)/('B1b '!$G$27-'B1b '!$G$26))*(B83-'B1b '!$G$26),0))</f>
        <v>40</v>
      </c>
      <c r="D83" s="411"/>
      <c r="E83" s="410">
        <v>40</v>
      </c>
      <c r="F83" s="410">
        <f>IF(E83&lt;='B1b '!$G$29,'B1b '!$H$29,IF(AND(E83&lt;='B1b '!$G$28,E83&gt;'B1b '!$G$29),0+(('B1b '!$H$29-'B1b '!$H$28)/('B1b '!$G$29-'B1b '!$G$28))*(E83-'B1b '!$G$28),0))</f>
        <v>36.666666666666671</v>
      </c>
      <c r="G83" s="411"/>
      <c r="H83" s="410">
        <v>40</v>
      </c>
      <c r="I83" s="410">
        <f>IF(H83&lt;='B1b '!$G$31,'B1b '!$H$31,IF(AND(H83&lt;='B1b '!$G$30,H83&gt;'B1b '!$G$31),0+(('B1b '!$H$31-'B1b '!$H$30)/('B1b '!$G$31-'B1b '!$G$30))*(H83-'B1b '!$G$30),0))</f>
        <v>106.66666666666666</v>
      </c>
      <c r="J83" s="411"/>
      <c r="K83" s="410">
        <v>20</v>
      </c>
      <c r="L83" s="410">
        <f>IF(K83&lt;='B1b '!$G$33,'B1b '!$H$33,IF(AND(K83&lt;='B1b '!$G$32,K83&gt;'B1b '!$G$33),0+(('B1b '!$H$33-'B1b '!$H$32)/('B1b '!$G$33-'B1b '!$G$32))*(K83-'B1b '!$G$32),0))</f>
        <v>135</v>
      </c>
      <c r="M83" s="404"/>
    </row>
    <row r="84" spans="2:13">
      <c r="B84" s="410">
        <v>45</v>
      </c>
      <c r="C84" s="410">
        <f>IF(B84&lt;='B1b '!$G$27,'B1b '!$H$27,IF(AND(B84&lt;='B1b '!$G$26,B84&gt;'B1b '!$G$27),0+(('B1b '!$H$27-'B1b '!$H$26)/('B1b '!$G$27-'B1b '!$G$26))*(B84-'B1b '!$G$26),0))</f>
        <v>33.333333333333329</v>
      </c>
      <c r="D84" s="411"/>
      <c r="E84" s="410">
        <v>45</v>
      </c>
      <c r="F84" s="410">
        <f>IF(E84&lt;='B1b '!$G$29,'B1b '!$H$29,IF(AND(E84&lt;='B1b '!$G$28,E84&gt;'B1b '!$G$29),0+(('B1b '!$H$29-'B1b '!$H$28)/('B1b '!$G$29-'B1b '!$G$28))*(E84-'B1b '!$G$28),0))</f>
        <v>30.555555555555557</v>
      </c>
      <c r="G84" s="411"/>
      <c r="H84" s="410">
        <v>45</v>
      </c>
      <c r="I84" s="410">
        <f>IF(H84&lt;='B1b '!$G$31,'B1b '!$H$31,IF(AND(H84&lt;='B1b '!$G$30,H84&gt;'B1b '!$G$31),0+(('B1b '!$H$31-'B1b '!$H$30)/('B1b '!$G$31-'B1b '!$G$30))*(H84-'B1b '!$G$30),0))</f>
        <v>100</v>
      </c>
      <c r="J84" s="411"/>
      <c r="K84" s="410">
        <v>22.5</v>
      </c>
      <c r="L84" s="410">
        <f>IF(K84&lt;='B1b '!$G$33,'B1b '!$H$33,IF(AND(K84&lt;='B1b '!$G$32,K84&gt;'B1b '!$G$33),0+(('B1b '!$H$33-'B1b '!$H$32)/('B1b '!$G$33-'B1b '!$G$32))*(K84-'B1b '!$G$32),0))</f>
        <v>135</v>
      </c>
      <c r="M84" s="404"/>
    </row>
    <row r="85" spans="2:13">
      <c r="B85" s="410">
        <v>50</v>
      </c>
      <c r="C85" s="410">
        <f>IF(B85&lt;='B1b '!$G$27,'B1b '!$H$27,IF(AND(B85&lt;='B1b '!$G$26,B85&gt;'B1b '!$G$27),0+(('B1b '!$H$27-'B1b '!$H$26)/('B1b '!$G$27-'B1b '!$G$26))*(B85-'B1b '!$G$26),0))</f>
        <v>26.666666666666664</v>
      </c>
      <c r="D85" s="411"/>
      <c r="E85" s="410">
        <v>50</v>
      </c>
      <c r="F85" s="410">
        <f>IF(E85&lt;='B1b '!$G$29,'B1b '!$H$29,IF(AND(E85&lt;='B1b '!$G$28,E85&gt;'B1b '!$G$29),0+(('B1b '!$H$29-'B1b '!$H$28)/('B1b '!$G$29-'B1b '!$G$28))*(E85-'B1b '!$G$28),0))</f>
        <v>24.444444444444446</v>
      </c>
      <c r="G85" s="411"/>
      <c r="H85" s="410">
        <v>50</v>
      </c>
      <c r="I85" s="410">
        <f>IF(H85&lt;='B1b '!$G$31,'B1b '!$H$31,IF(AND(H85&lt;='B1b '!$G$30,H85&gt;'B1b '!$G$31),0+(('B1b '!$H$31-'B1b '!$H$30)/('B1b '!$G$31-'B1b '!$G$30))*(H85-'B1b '!$G$30),0))</f>
        <v>93.333333333333329</v>
      </c>
      <c r="J85" s="411"/>
      <c r="K85" s="410">
        <v>25</v>
      </c>
      <c r="L85" s="410">
        <f>IF(K85&lt;='B1b '!$G$33,'B1b '!$H$33,IF(AND(K85&lt;='B1b '!$G$32,K85&gt;'B1b '!$G$33),0+(('B1b '!$H$33-'B1b '!$H$32)/('B1b '!$G$33-'B1b '!$G$32))*(K85-'B1b '!$G$32),0))</f>
        <v>135</v>
      </c>
      <c r="M85" s="404"/>
    </row>
    <row r="86" spans="2:13">
      <c r="B86" s="410">
        <v>55</v>
      </c>
      <c r="C86" s="410">
        <f>IF(B86&lt;='B1b '!$G$27,'B1b '!$H$27,IF(AND(B86&lt;='B1b '!$G$26,B86&gt;'B1b '!$G$27),0+(('B1b '!$H$27-'B1b '!$H$26)/('B1b '!$G$27-'B1b '!$G$26))*(B86-'B1b '!$G$26),0))</f>
        <v>20</v>
      </c>
      <c r="D86" s="411"/>
      <c r="E86" s="410">
        <v>55</v>
      </c>
      <c r="F86" s="410">
        <f>IF(E86&lt;='B1b '!$G$29,'B1b '!$H$29,IF(AND(E86&lt;='B1b '!$G$28,E86&gt;'B1b '!$G$29),0+(('B1b '!$H$29-'B1b '!$H$28)/('B1b '!$G$29-'B1b '!$G$28))*(E86-'B1b '!$G$28),0))</f>
        <v>18.333333333333336</v>
      </c>
      <c r="G86" s="411"/>
      <c r="H86" s="410">
        <v>55</v>
      </c>
      <c r="I86" s="410">
        <f>IF(H86&lt;='B1b '!$G$31,'B1b '!$H$31,IF(AND(H86&lt;='B1b '!$G$30,H86&gt;'B1b '!$G$31),0+(('B1b '!$H$31-'B1b '!$H$30)/('B1b '!$G$31-'B1b '!$G$30))*(H86-'B1b '!$G$30),0))</f>
        <v>86.666666666666657</v>
      </c>
      <c r="J86" s="411"/>
      <c r="K86" s="410">
        <v>27.5</v>
      </c>
      <c r="L86" s="410">
        <f>IF(K86&lt;='B1b '!$G$33,'B1b '!$H$33,IF(AND(K86&lt;='B1b '!$G$32,K86&gt;'B1b '!$G$33),0+(('B1b '!$H$33-'B1b '!$H$32)/('B1b '!$G$33-'B1b '!$G$32))*(K86-'B1b '!$G$32),0))</f>
        <v>101.25</v>
      </c>
      <c r="M86" s="404"/>
    </row>
    <row r="87" spans="2:13">
      <c r="B87" s="410">
        <v>60</v>
      </c>
      <c r="C87" s="410">
        <f>IF(B87&lt;='B1b '!$G$27,'B1b '!$H$27,IF(AND(B87&lt;='B1b '!$G$26,B87&gt;'B1b '!$G$27),0+(('B1b '!$H$27-'B1b '!$H$26)/('B1b '!$G$27-'B1b '!$G$26))*(B87-'B1b '!$G$26),0))</f>
        <v>13.333333333333332</v>
      </c>
      <c r="D87" s="411"/>
      <c r="E87" s="410">
        <v>60</v>
      </c>
      <c r="F87" s="410">
        <f>IF(E87&lt;='B1b '!$G$29,'B1b '!$H$29,IF(AND(E87&lt;='B1b '!$G$28,E87&gt;'B1b '!$G$29),0+(('B1b '!$H$29-'B1b '!$H$28)/('B1b '!$G$29-'B1b '!$G$28))*(E87-'B1b '!$G$28),0))</f>
        <v>12.222222222222223</v>
      </c>
      <c r="G87" s="411"/>
      <c r="H87" s="410">
        <v>60</v>
      </c>
      <c r="I87" s="410">
        <f>IF(H87&lt;='B1b '!$G$31,'B1b '!$H$31,IF(AND(H87&lt;='B1b '!$G$30,H87&gt;'B1b '!$G$31),0+(('B1b '!$H$31-'B1b '!$H$30)/('B1b '!$G$31-'B1b '!$G$30))*(H87-'B1b '!$G$30),0))</f>
        <v>80</v>
      </c>
      <c r="J87" s="411"/>
      <c r="K87" s="410">
        <v>30</v>
      </c>
      <c r="L87" s="410">
        <f>IF(K87&lt;='B1b '!$G$33,'B1b '!$H$33,IF(AND(K87&lt;='B1b '!$G$32,K87&gt;'B1b '!$G$33),0+(('B1b '!$H$33-'B1b '!$H$32)/('B1b '!$G$33-'B1b '!$G$32))*(K87-'B1b '!$G$32),0))</f>
        <v>67.5</v>
      </c>
      <c r="M87" s="404"/>
    </row>
    <row r="88" spans="2:13">
      <c r="B88" s="410">
        <v>65</v>
      </c>
      <c r="C88" s="410">
        <f>IF(B88&lt;='B1b '!$G$27,'B1b '!$H$27,IF(AND(B88&lt;='B1b '!$G$26,B88&gt;'B1b '!$G$27),0+(('B1b '!$H$27-'B1b '!$H$26)/('B1b '!$G$27-'B1b '!$G$26))*(B88-'B1b '!$G$26),0))</f>
        <v>6.6666666666666661</v>
      </c>
      <c r="D88" s="411"/>
      <c r="E88" s="410">
        <v>65</v>
      </c>
      <c r="F88" s="410">
        <f>IF(E88&lt;='B1b '!$G$29,'B1b '!$H$29,IF(AND(E88&lt;='B1b '!$G$28,E88&gt;'B1b '!$G$29),0+(('B1b '!$H$29-'B1b '!$H$28)/('B1b '!$G$29-'B1b '!$G$28))*(E88-'B1b '!$G$28),0))</f>
        <v>6.1111111111111116</v>
      </c>
      <c r="G88" s="411"/>
      <c r="H88" s="410">
        <v>65</v>
      </c>
      <c r="I88" s="410">
        <f>IF(H88&lt;='B1b '!$G$31,'B1b '!$H$31,IF(AND(H88&lt;='B1b '!$G$30,H88&gt;'B1b '!$G$31),0+(('B1b '!$H$31-'B1b '!$H$30)/('B1b '!$G$31-'B1b '!$G$30))*(H88-'B1b '!$G$30),0))</f>
        <v>73.333333333333329</v>
      </c>
      <c r="J88" s="411"/>
      <c r="K88" s="410">
        <v>32.5</v>
      </c>
      <c r="L88" s="410">
        <f>IF(K88&lt;='B1b '!$G$33,'B1b '!$H$33,IF(AND(K88&lt;='B1b '!$G$32,K88&gt;'B1b '!$G$33),0+(('B1b '!$H$33-'B1b '!$H$32)/('B1b '!$G$33-'B1b '!$G$32))*(K88-'B1b '!$G$32),0))</f>
        <v>33.75</v>
      </c>
      <c r="M88" s="404"/>
    </row>
    <row r="89" spans="2:13">
      <c r="B89" s="410">
        <v>70</v>
      </c>
      <c r="C89" s="410">
        <f>IF(B89&lt;='B1b '!$G$27,'B1b '!$H$27,IF(AND(B89&lt;='B1b '!$G$26,B89&gt;'B1b '!$G$27),0+(('B1b '!$H$27-'B1b '!$H$26)/('B1b '!$G$27-'B1b '!$G$26))*(B89-'B1b '!$G$26),0))</f>
        <v>0</v>
      </c>
      <c r="D89" s="411"/>
      <c r="E89" s="410">
        <v>70</v>
      </c>
      <c r="F89" s="410">
        <f>IF(E89&lt;='B1b '!$G$29,'B1b '!$H$29,IF(AND(E89&lt;='B1b '!$G$28,E89&gt;'B1b '!$G$29),0+(('B1b '!$H$29-'B1b '!$H$28)/('B1b '!$G$29-'B1b '!$G$28))*(E89-'B1b '!$G$28),0))</f>
        <v>0</v>
      </c>
      <c r="G89" s="411"/>
      <c r="H89" s="410">
        <v>70</v>
      </c>
      <c r="I89" s="410">
        <f>IF(H89&lt;='B1b '!$G$31,'B1b '!$H$31,IF(AND(H89&lt;='B1b '!$G$30,H89&gt;'B1b '!$G$31),0+(('B1b '!$H$31-'B1b '!$H$30)/('B1b '!$G$31-'B1b '!$G$30))*(H89-'B1b '!$G$30),0))</f>
        <v>66.666666666666657</v>
      </c>
      <c r="J89" s="411"/>
      <c r="K89" s="410">
        <v>35</v>
      </c>
      <c r="L89" s="410">
        <f>IF(K89&lt;='B1b '!$G$33,'B1b '!$H$33,IF(AND(K89&lt;='B1b '!$G$32,K89&gt;'B1b '!$G$33),0+(('B1b '!$H$33-'B1b '!$H$32)/('B1b '!$G$33-'B1b '!$G$32))*(K89-'B1b '!$G$32),0))</f>
        <v>0</v>
      </c>
      <c r="M89" s="404"/>
    </row>
    <row r="90" spans="2:13">
      <c r="B90" s="410">
        <v>75</v>
      </c>
      <c r="C90" s="410">
        <f>IF(B90&lt;='B1b '!$G$27,'B1b '!$H$27,IF(AND(B90&lt;='B1b '!$G$26,B90&gt;'B1b '!$G$27),0+(('B1b '!$H$27-'B1b '!$H$26)/('B1b '!$G$27-'B1b '!$G$26))*(B90-'B1b '!$G$26),0))</f>
        <v>0</v>
      </c>
      <c r="D90" s="411"/>
      <c r="E90" s="410">
        <v>75</v>
      </c>
      <c r="F90" s="410">
        <f>IF(E90&lt;='B1b '!$G$29,'B1b '!$H$29,IF(AND(E90&lt;='B1b '!$G$28,E90&gt;'B1b '!$G$29),0+(('B1b '!$H$29-'B1b '!$H$28)/('B1b '!$G$29-'B1b '!$G$28))*(E90-'B1b '!$G$28),0))</f>
        <v>0</v>
      </c>
      <c r="G90" s="411"/>
      <c r="H90" s="410">
        <v>75</v>
      </c>
      <c r="I90" s="410">
        <f>IF(H90&lt;='B1b '!$G$31,'B1b '!$H$31,IF(AND(H90&lt;='B1b '!$G$30,H90&gt;'B1b '!$G$31),0+(('B1b '!$H$31-'B1b '!$H$30)/('B1b '!$G$31-'B1b '!$G$30))*(H90-'B1b '!$G$30),0))</f>
        <v>60</v>
      </c>
      <c r="J90" s="411"/>
      <c r="K90" s="410">
        <v>37.5</v>
      </c>
      <c r="L90" s="410">
        <f>IF(K90&lt;='B1b '!$G$33,'B1b '!$H$33,IF(AND(K90&lt;='B1b '!$G$32,K90&gt;'B1b '!$G$33),0+(('B1b '!$H$33-'B1b '!$H$32)/('B1b '!$G$33-'B1b '!$G$32))*(K90-'B1b '!$G$32),0))</f>
        <v>0</v>
      </c>
      <c r="M90" s="404"/>
    </row>
    <row r="91" spans="2:13">
      <c r="B91" s="410">
        <v>80</v>
      </c>
      <c r="C91" s="410">
        <f>IF(B91&lt;='B1b '!$G$27,'B1b '!$H$27,IF(AND(B91&lt;='B1b '!$G$26,B91&gt;'B1b '!$G$27),0+(('B1b '!$H$27-'B1b '!$H$26)/('B1b '!$G$27-'B1b '!$G$26))*(B91-'B1b '!$G$26),0))</f>
        <v>0</v>
      </c>
      <c r="D91" s="411"/>
      <c r="E91" s="410">
        <v>80</v>
      </c>
      <c r="F91" s="410">
        <f>IF(E91&lt;='B1b '!$G$29,'B1b '!$H$29,IF(AND(E91&lt;='B1b '!$G$28,E91&gt;'B1b '!$G$29),0+(('B1b '!$H$29-'B1b '!$H$28)/('B1b '!$G$29-'B1b '!$G$28))*(E91-'B1b '!$G$28),0))</f>
        <v>0</v>
      </c>
      <c r="G91" s="411"/>
      <c r="H91" s="410">
        <v>80</v>
      </c>
      <c r="I91" s="410">
        <f>IF(H91&lt;='B1b '!$G$31,'B1b '!$H$31,IF(AND(H91&lt;='B1b '!$G$30,H91&gt;'B1b '!$G$31),0+(('B1b '!$H$31-'B1b '!$H$30)/('B1b '!$G$31-'B1b '!$G$30))*(H91-'B1b '!$G$30),0))</f>
        <v>53.333333333333329</v>
      </c>
      <c r="J91" s="411"/>
      <c r="K91" s="410">
        <v>40</v>
      </c>
      <c r="L91" s="410">
        <f>IF(K91&lt;='B1b '!$G$33,'B1b '!$H$33,IF(AND(K91&lt;='B1b '!$G$32,K91&gt;'B1b '!$G$33),0+(('B1b '!$H$33-'B1b '!$H$32)/('B1b '!$G$33-'B1b '!$G$32))*(K91-'B1b '!$G$32),0))</f>
        <v>0</v>
      </c>
      <c r="M91" s="404"/>
    </row>
    <row r="92" spans="2:13">
      <c r="B92" s="410">
        <v>85</v>
      </c>
      <c r="C92" s="410">
        <f>IF(B92&lt;='B1b '!$G$27,'B1b '!$H$27,IF(AND(B92&lt;='B1b '!$G$26,B92&gt;'B1b '!$G$27),0+(('B1b '!$H$27-'B1b '!$H$26)/('B1b '!$G$27-'B1b '!$G$26))*(B92-'B1b '!$G$26),0))</f>
        <v>0</v>
      </c>
      <c r="D92" s="411"/>
      <c r="E92" s="410">
        <v>85</v>
      </c>
      <c r="F92" s="410">
        <f>IF(E92&lt;='B1b '!$G$29,'B1b '!$H$29,IF(AND(E92&lt;='B1b '!$G$28,E92&gt;'B1b '!$G$29),0+(('B1b '!$H$29-'B1b '!$H$28)/('B1b '!$G$29-'B1b '!$G$28))*(E92-'B1b '!$G$28),0))</f>
        <v>0</v>
      </c>
      <c r="G92" s="411"/>
      <c r="H92" s="410">
        <v>85</v>
      </c>
      <c r="I92" s="410">
        <f>IF(H92&lt;='B1b '!$G$31,'B1b '!$H$31,IF(AND(H92&lt;='B1b '!$G$30,H92&gt;'B1b '!$G$31),0+(('B1b '!$H$31-'B1b '!$H$30)/('B1b '!$G$31-'B1b '!$G$30))*(H92-'B1b '!$G$30),0))</f>
        <v>46.666666666666664</v>
      </c>
      <c r="J92" s="411"/>
      <c r="K92" s="410">
        <v>42.5</v>
      </c>
      <c r="L92" s="410">
        <f>IF(K92&lt;='B1b '!$G$33,'B1b '!$H$33,IF(AND(K92&lt;='B1b '!$G$32,K92&gt;'B1b '!$G$33),0+(('B1b '!$H$33-'B1b '!$H$32)/('B1b '!$G$33-'B1b '!$G$32))*(K92-'B1b '!$G$32),0))</f>
        <v>0</v>
      </c>
      <c r="M92" s="404"/>
    </row>
    <row r="93" spans="2:13">
      <c r="B93" s="410">
        <v>90</v>
      </c>
      <c r="C93" s="410">
        <f>IF(B93&lt;='B1b '!$G$27,'B1b '!$H$27,IF(AND(B93&lt;='B1b '!$G$26,B93&gt;'B1b '!$G$27),0+(('B1b '!$H$27-'B1b '!$H$26)/('B1b '!$G$27-'B1b '!$G$26))*(B93-'B1b '!$G$26),0))</f>
        <v>0</v>
      </c>
      <c r="D93" s="411"/>
      <c r="E93" s="410">
        <v>90</v>
      </c>
      <c r="F93" s="410">
        <f>IF(E93&lt;='B1b '!$G$29,'B1b '!$H$29,IF(AND(E93&lt;='B1b '!$G$28,E93&gt;'B1b '!$G$29),0+(('B1b '!$H$29-'B1b '!$H$28)/('B1b '!$G$29-'B1b '!$G$28))*(E93-'B1b '!$G$28),0))</f>
        <v>0</v>
      </c>
      <c r="G93" s="411"/>
      <c r="H93" s="410">
        <v>90</v>
      </c>
      <c r="I93" s="410">
        <f>IF(H93&lt;='B1b '!$G$31,'B1b '!$H$31,IF(AND(H93&lt;='B1b '!$G$30,H93&gt;'B1b '!$G$31),0+(('B1b '!$H$31-'B1b '!$H$30)/('B1b '!$G$31-'B1b '!$G$30))*(H93-'B1b '!$G$30),0))</f>
        <v>40</v>
      </c>
      <c r="J93" s="411"/>
      <c r="K93" s="410">
        <v>45</v>
      </c>
      <c r="L93" s="410">
        <f>IF(K93&lt;='B1b '!$G$33,'B1b '!$H$33,IF(AND(K93&lt;='B1b '!$G$32,K93&gt;'B1b '!$G$33),0+(('B1b '!$H$33-'B1b '!$H$32)/('B1b '!$G$33-'B1b '!$G$32))*(K93-'B1b '!$G$32),0))</f>
        <v>0</v>
      </c>
      <c r="M93" s="404"/>
    </row>
    <row r="94" spans="2:13">
      <c r="B94" s="410">
        <v>95</v>
      </c>
      <c r="C94" s="410">
        <f>IF(B94&lt;='B1b '!$G$27,'B1b '!$H$27,IF(AND(B94&lt;='B1b '!$G$26,B94&gt;'B1b '!$G$27),0+(('B1b '!$H$27-'B1b '!$H$26)/('B1b '!$G$27-'B1b '!$G$26))*(B94-'B1b '!$G$26),0))</f>
        <v>0</v>
      </c>
      <c r="D94" s="411"/>
      <c r="E94" s="410">
        <v>95</v>
      </c>
      <c r="F94" s="410">
        <f>IF(E94&lt;='B1b '!$G$29,'B1b '!$H$29,IF(AND(E94&lt;='B1b '!$G$28,E94&gt;'B1b '!$G$29),0+(('B1b '!$H$29-'B1b '!$H$28)/('B1b '!$G$29-'B1b '!$G$28))*(E94-'B1b '!$G$28),0))</f>
        <v>0</v>
      </c>
      <c r="G94" s="411"/>
      <c r="H94" s="410">
        <v>95</v>
      </c>
      <c r="I94" s="410">
        <f>IF(H94&lt;='B1b '!$G$31,'B1b '!$H$31,IF(AND(H94&lt;='B1b '!$G$30,H94&gt;'B1b '!$G$31),0+(('B1b '!$H$31-'B1b '!$H$30)/('B1b '!$G$31-'B1b '!$G$30))*(H94-'B1b '!$G$30),0))</f>
        <v>33.333333333333329</v>
      </c>
      <c r="J94" s="411"/>
      <c r="K94" s="410">
        <v>47.5</v>
      </c>
      <c r="L94" s="410">
        <f>IF(K94&lt;='B1b '!$G$33,'B1b '!$H$33,IF(AND(K94&lt;='B1b '!$G$32,K94&gt;'B1b '!$G$33),0+(('B1b '!$H$33-'B1b '!$H$32)/('B1b '!$G$33-'B1b '!$G$32))*(K94-'B1b '!$G$32),0))</f>
        <v>0</v>
      </c>
      <c r="M94" s="404"/>
    </row>
    <row r="95" spans="2:13">
      <c r="B95" s="410">
        <v>100</v>
      </c>
      <c r="C95" s="410">
        <f>IF(B95&lt;='B1b '!$G$27,'B1b '!$H$27,IF(AND(B95&lt;='B1b '!$G$26,B95&gt;'B1b '!$G$27),0+(('B1b '!$H$27-'B1b '!$H$26)/('B1b '!$G$27-'B1b '!$G$26))*(B95-'B1b '!$G$26),0))</f>
        <v>0</v>
      </c>
      <c r="D95" s="411"/>
      <c r="E95" s="410">
        <v>100</v>
      </c>
      <c r="F95" s="410">
        <f>IF(E95&lt;='B1b '!$G$29,'B1b '!$H$29,IF(AND(E95&lt;='B1b '!$G$28,E95&gt;'B1b '!$G$29),0+(('B1b '!$H$29-'B1b '!$H$28)/('B1b '!$G$29-'B1b '!$G$28))*(E95-'B1b '!$G$28),0))</f>
        <v>0</v>
      </c>
      <c r="G95" s="411"/>
      <c r="H95" s="410">
        <v>100</v>
      </c>
      <c r="I95" s="410">
        <f>IF(H95&lt;='B1b '!$G$31,'B1b '!$H$31,IF(AND(H95&lt;='B1b '!$G$30,H95&gt;'B1b '!$G$31),0+(('B1b '!$H$31-'B1b '!$H$30)/('B1b '!$G$31-'B1b '!$G$30))*(H95-'B1b '!$G$30),0))</f>
        <v>26.666666666666664</v>
      </c>
      <c r="J95" s="411"/>
      <c r="K95" s="410">
        <v>50</v>
      </c>
      <c r="L95" s="410">
        <f>IF(K95&lt;='B1b '!$G$33,'B1b '!$H$33,IF(AND(K95&lt;='B1b '!$G$32,K95&gt;'B1b '!$G$33),0+(('B1b '!$H$33-'B1b '!$H$32)/('B1b '!$G$33-'B1b '!$G$32))*(K95-'B1b '!$G$32),0))</f>
        <v>0</v>
      </c>
      <c r="M95" s="404"/>
    </row>
    <row r="96" spans="2:13">
      <c r="B96" s="410">
        <v>105</v>
      </c>
      <c r="C96" s="410">
        <f>IF(B96&lt;='B1b '!$G$27,'B1b '!$H$27,IF(AND(B96&lt;='B1b '!$G$26,B96&gt;'B1b '!$G$27),0+(('B1b '!$H$27-'B1b '!$H$26)/('B1b '!$G$27-'B1b '!$G$26))*(B96-'B1b '!$G$26),0))</f>
        <v>0</v>
      </c>
      <c r="D96" s="411"/>
      <c r="E96" s="410">
        <v>105</v>
      </c>
      <c r="F96" s="410">
        <f>IF(E96&lt;='B1b '!$G$29,'B1b '!$H$29,IF(AND(E96&lt;='B1b '!$G$28,E96&gt;'B1b '!$G$29),0+(('B1b '!$H$29-'B1b '!$H$28)/('B1b '!$G$29-'B1b '!$G$28))*(E96-'B1b '!$G$28),0))</f>
        <v>0</v>
      </c>
      <c r="G96" s="411"/>
      <c r="H96" s="410">
        <v>105</v>
      </c>
      <c r="I96" s="410">
        <f>IF(H96&lt;='B1b '!$G$31,'B1b '!$H$31,IF(AND(H96&lt;='B1b '!$G$30,H96&gt;'B1b '!$G$31),0+(('B1b '!$H$31-'B1b '!$H$30)/('B1b '!$G$31-'B1b '!$G$30))*(H96-'B1b '!$G$30),0))</f>
        <v>20</v>
      </c>
      <c r="J96" s="411"/>
      <c r="K96" s="410">
        <v>52.5</v>
      </c>
      <c r="L96" s="410">
        <f>IF(K96&lt;='B1b '!$G$33,'B1b '!$H$33,IF(AND(K96&lt;='B1b '!$G$32,K96&gt;'B1b '!$G$33),0+(('B1b '!$H$33-'B1b '!$H$32)/('B1b '!$G$33-'B1b '!$G$32))*(K96-'B1b '!$G$32),0))</f>
        <v>0</v>
      </c>
      <c r="M96" s="404"/>
    </row>
    <row r="97" spans="2:13">
      <c r="B97" s="410">
        <v>110</v>
      </c>
      <c r="C97" s="410">
        <f>IF(B97&lt;='B1b '!$G$27,'B1b '!$H$27,IF(AND(B97&lt;='B1b '!$G$26,B97&gt;'B1b '!$G$27),0+(('B1b '!$H$27-'B1b '!$H$26)/('B1b '!$G$27-'B1b '!$G$26))*(B97-'B1b '!$G$26),0))</f>
        <v>0</v>
      </c>
      <c r="D97" s="411"/>
      <c r="E97" s="410">
        <v>110</v>
      </c>
      <c r="F97" s="410">
        <f>IF(E97&lt;='B1b '!$G$29,'B1b '!$H$29,IF(AND(E97&lt;='B1b '!$G$28,E97&gt;'B1b '!$G$29),0+(('B1b '!$H$29-'B1b '!$H$28)/('B1b '!$G$29-'B1b '!$G$28))*(E97-'B1b '!$G$28),0))</f>
        <v>0</v>
      </c>
      <c r="G97" s="411"/>
      <c r="H97" s="410">
        <v>110</v>
      </c>
      <c r="I97" s="410">
        <f>IF(H97&lt;='B1b '!$G$31,'B1b '!$H$31,IF(AND(H97&lt;='B1b '!$G$30,H97&gt;'B1b '!$G$31),0+(('B1b '!$H$31-'B1b '!$H$30)/('B1b '!$G$31-'B1b '!$G$30))*(H97-'B1b '!$G$30),0))</f>
        <v>13.333333333333332</v>
      </c>
      <c r="J97" s="411"/>
      <c r="K97" s="410">
        <v>55</v>
      </c>
      <c r="L97" s="410">
        <f>IF(K97&lt;='B1b '!$G$33,'B1b '!$H$33,IF(AND(K97&lt;='B1b '!$G$32,K97&gt;'B1b '!$G$33),0+(('B1b '!$H$33-'B1b '!$H$32)/('B1b '!$G$33-'B1b '!$G$32))*(K97-'B1b '!$G$32),0))</f>
        <v>0</v>
      </c>
      <c r="M97" s="404"/>
    </row>
    <row r="98" spans="2:13">
      <c r="B98" s="410">
        <v>115</v>
      </c>
      <c r="C98" s="410">
        <f>IF(B98&lt;='B1b '!$G$27,'B1b '!$H$27,IF(AND(B98&lt;='B1b '!$G$26,B98&gt;'B1b '!$G$27),0+(('B1b '!$H$27-'B1b '!$H$26)/('B1b '!$G$27-'B1b '!$G$26))*(B98-'B1b '!$G$26),0))</f>
        <v>0</v>
      </c>
      <c r="D98" s="411"/>
      <c r="E98" s="410">
        <v>115</v>
      </c>
      <c r="F98" s="410">
        <f>IF(E98&lt;='B1b '!$G$29,'B1b '!$H$29,IF(AND(E98&lt;='B1b '!$G$28,E98&gt;'B1b '!$G$29),0+(('B1b '!$H$29-'B1b '!$H$28)/('B1b '!$G$29-'B1b '!$G$28))*(E98-'B1b '!$G$28),0))</f>
        <v>0</v>
      </c>
      <c r="G98" s="411"/>
      <c r="H98" s="410">
        <v>115</v>
      </c>
      <c r="I98" s="410">
        <f>IF(H98&lt;='B1b '!$G$31,'B1b '!$H$31,IF(AND(H98&lt;='B1b '!$G$30,H98&gt;'B1b '!$G$31),0+(('B1b '!$H$31-'B1b '!$H$30)/('B1b '!$G$31-'B1b '!$G$30))*(H98-'B1b '!$G$30),0))</f>
        <v>6.6666666666666661</v>
      </c>
      <c r="J98" s="411"/>
      <c r="K98" s="410">
        <v>57.5</v>
      </c>
      <c r="L98" s="410">
        <f>IF(K98&lt;='B1b '!$G$33,'B1b '!$H$33,IF(AND(K98&lt;='B1b '!$G$32,K98&gt;'B1b '!$G$33),0+(('B1b '!$H$33-'B1b '!$H$32)/('B1b '!$G$33-'B1b '!$G$32))*(K98-'B1b '!$G$32),0))</f>
        <v>0</v>
      </c>
      <c r="M98" s="404"/>
    </row>
    <row r="99" spans="2:13">
      <c r="B99" s="410">
        <v>120</v>
      </c>
      <c r="C99" s="410">
        <f>IF(B99&lt;='B1b '!$G$27,'B1b '!$H$27,IF(AND(B99&lt;='B1b '!$G$26,B99&gt;'B1b '!$G$27),0+(('B1b '!$H$27-'B1b '!$H$26)/('B1b '!$G$27-'B1b '!$G$26))*(B99-'B1b '!$G$26),0))</f>
        <v>0</v>
      </c>
      <c r="D99" s="411"/>
      <c r="E99" s="410">
        <v>120</v>
      </c>
      <c r="F99" s="410">
        <f>IF(E99&lt;='B1b '!$G$29,'B1b '!$H$29,IF(AND(E99&lt;='B1b '!$G$28,E99&gt;'B1b '!$G$29),0+(('B1b '!$H$29-'B1b '!$H$28)/('B1b '!$G$29-'B1b '!$G$28))*(E99-'B1b '!$G$28),0))</f>
        <v>0</v>
      </c>
      <c r="G99" s="411"/>
      <c r="H99" s="410">
        <v>120</v>
      </c>
      <c r="I99" s="410">
        <f>IF(H99&lt;='B1b '!$G$31,'B1b '!$H$31,IF(AND(H99&lt;='B1b '!$G$30,H99&gt;'B1b '!$G$31),0+(('B1b '!$H$31-'B1b '!$H$30)/('B1b '!$G$31-'B1b '!$G$30))*(H99-'B1b '!$G$30),0))</f>
        <v>0</v>
      </c>
      <c r="J99" s="411"/>
      <c r="K99" s="410">
        <v>60</v>
      </c>
      <c r="L99" s="410">
        <f>IF(K99&lt;='B1b '!$G$33,'B1b '!$H$33,IF(AND(K99&lt;='B1b '!$G$32,K99&gt;'B1b '!$G$33),0+(('B1b '!$H$33-'B1b '!$H$32)/('B1b '!$G$33-'B1b '!$G$32))*(K99-'B1b '!$G$32),0))</f>
        <v>0</v>
      </c>
      <c r="M99" s="404"/>
    </row>
    <row r="100" spans="2:13">
      <c r="B100" s="410">
        <v>125</v>
      </c>
      <c r="C100" s="410">
        <f>IF(B100&lt;='B1b '!$G$27,'B1b '!$H$27,IF(AND(B100&lt;='B1b '!$G$26,B100&gt;'B1b '!$G$27),0+(('B1b '!$H$27-'B1b '!$H$26)/('B1b '!$G$27-'B1b '!$G$26))*(B100-'B1b '!$G$26),0))</f>
        <v>0</v>
      </c>
      <c r="D100" s="411"/>
      <c r="E100" s="410">
        <v>125</v>
      </c>
      <c r="F100" s="410">
        <f>IF(E100&lt;='B1b '!$G$29,'B1b '!$H$29,IF(AND(E100&lt;='B1b '!$G$28,E100&gt;'B1b '!$G$29),0+(('B1b '!$H$29-'B1b '!$H$28)/('B1b '!$G$29-'B1b '!$G$28))*(E100-'B1b '!$G$28),0))</f>
        <v>0</v>
      </c>
      <c r="G100" s="411"/>
      <c r="H100" s="410">
        <v>125</v>
      </c>
      <c r="I100" s="410">
        <f>IF(H100&lt;='B1b '!$G$31,'B1b '!$H$31,IF(AND(H100&lt;='B1b '!$G$30,H100&gt;'B1b '!$G$31),0+(('B1b '!$H$31-'B1b '!$H$30)/('B1b '!$G$31-'B1b '!$G$30))*(H100-'B1b '!$G$30),0))</f>
        <v>0</v>
      </c>
      <c r="J100" s="411"/>
      <c r="K100" s="410">
        <v>62.5</v>
      </c>
      <c r="L100" s="410">
        <f>IF(K100&lt;='B1b '!$G$33,'B1b '!$H$33,IF(AND(K100&lt;='B1b '!$G$32,K100&gt;'B1b '!$G$33),0+(('B1b '!$H$33-'B1b '!$H$32)/('B1b '!$G$33-'B1b '!$G$32))*(K100-'B1b '!$G$32),0))</f>
        <v>0</v>
      </c>
      <c r="M100" s="404"/>
    </row>
    <row r="101" spans="2:13">
      <c r="B101" s="410">
        <v>130</v>
      </c>
      <c r="C101" s="410">
        <f>IF(B101&lt;='B1b '!$G$27,'B1b '!$H$27,IF(AND(B101&lt;='B1b '!$G$26,B101&gt;'B1b '!$G$27),0+(('B1b '!$H$27-'B1b '!$H$26)/('B1b '!$G$27-'B1b '!$G$26))*(B101-'B1b '!$G$26),0))</f>
        <v>0</v>
      </c>
      <c r="D101" s="411"/>
      <c r="E101" s="410">
        <v>130</v>
      </c>
      <c r="F101" s="410">
        <f>IF(E101&lt;='B1b '!$G$29,'B1b '!$H$29,IF(AND(E101&lt;='B1b '!$G$28,E101&gt;'B1b '!$G$29),0+(('B1b '!$H$29-'B1b '!$H$28)/('B1b '!$G$29-'B1b '!$G$28))*(E101-'B1b '!$G$28),0))</f>
        <v>0</v>
      </c>
      <c r="G101" s="411"/>
      <c r="H101" s="410">
        <v>130</v>
      </c>
      <c r="I101" s="410">
        <f>IF(H101&lt;='B1b '!$G$31,'B1b '!$H$31,IF(AND(H101&lt;='B1b '!$G$30,H101&gt;'B1b '!$G$31),0+(('B1b '!$H$31-'B1b '!$H$30)/('B1b '!$G$31-'B1b '!$G$30))*(H101-'B1b '!$G$30),0))</f>
        <v>0</v>
      </c>
      <c r="J101" s="411"/>
      <c r="K101" s="410">
        <v>65</v>
      </c>
      <c r="L101" s="410">
        <f>IF(K101&lt;='B1b '!$G$33,'B1b '!$H$33,IF(AND(K101&lt;='B1b '!$G$32,K101&gt;'B1b '!$G$33),0+(('B1b '!$H$33-'B1b '!$H$32)/('B1b '!$G$33-'B1b '!$G$32))*(K101-'B1b '!$G$32),0))</f>
        <v>0</v>
      </c>
      <c r="M101" s="404"/>
    </row>
    <row r="102" spans="2:13">
      <c r="B102" s="410">
        <v>135</v>
      </c>
      <c r="C102" s="410">
        <f>IF(B102&lt;='B1b '!$G$27,'B1b '!$H$27,IF(AND(B102&lt;='B1b '!$G$26,B102&gt;'B1b '!$G$27),0+(('B1b '!$H$27-'B1b '!$H$26)/('B1b '!$G$27-'B1b '!$G$26))*(B102-'B1b '!$G$26),0))</f>
        <v>0</v>
      </c>
      <c r="D102" s="411"/>
      <c r="E102" s="410">
        <v>135</v>
      </c>
      <c r="F102" s="410">
        <f>IF(E102&lt;='B1b '!$G$29,'B1b '!$H$29,IF(AND(E102&lt;='B1b '!$G$28,E102&gt;'B1b '!$G$29),0+(('B1b '!$H$29-'B1b '!$H$28)/('B1b '!$G$29-'B1b '!$G$28))*(E102-'B1b '!$G$28),0))</f>
        <v>0</v>
      </c>
      <c r="G102" s="411"/>
      <c r="H102" s="410">
        <v>135</v>
      </c>
      <c r="I102" s="410">
        <f>IF(H102&lt;='B1b '!$G$31,'B1b '!$H$31,IF(AND(H102&lt;='B1b '!$G$30,H102&gt;'B1b '!$G$31),0+(('B1b '!$H$31-'B1b '!$H$30)/('B1b '!$G$31-'B1b '!$G$30))*(H102-'B1b '!$G$30),0))</f>
        <v>0</v>
      </c>
      <c r="J102" s="411"/>
      <c r="K102" s="410">
        <v>67.5</v>
      </c>
      <c r="L102" s="410">
        <f>IF(K102&lt;='B1b '!$G$33,'B1b '!$H$33,IF(AND(K102&lt;='B1b '!$G$32,K102&gt;'B1b '!$G$33),0+(('B1b '!$H$33-'B1b '!$H$32)/('B1b '!$G$33-'B1b '!$G$32))*(K102-'B1b '!$G$32),0))</f>
        <v>0</v>
      </c>
      <c r="M102" s="404"/>
    </row>
    <row r="103" spans="2:13">
      <c r="B103" s="410">
        <v>140</v>
      </c>
      <c r="C103" s="410">
        <f>IF(B103&lt;='B1b '!$G$27,'B1b '!$H$27,IF(AND(B103&lt;='B1b '!$G$26,B103&gt;'B1b '!$G$27),0+(('B1b '!$H$27-'B1b '!$H$26)/('B1b '!$G$27-'B1b '!$G$26))*(B103-'B1b '!$G$26),0))</f>
        <v>0</v>
      </c>
      <c r="D103" s="411"/>
      <c r="E103" s="410">
        <v>140</v>
      </c>
      <c r="F103" s="410">
        <f>IF(E103&lt;='B1b '!$G$29,'B1b '!$H$29,IF(AND(E103&lt;='B1b '!$G$28,E103&gt;'B1b '!$G$29),0+(('B1b '!$H$29-'B1b '!$H$28)/('B1b '!$G$29-'B1b '!$G$28))*(E103-'B1b '!$G$28),0))</f>
        <v>0</v>
      </c>
      <c r="G103" s="411"/>
      <c r="H103" s="410">
        <v>140</v>
      </c>
      <c r="I103" s="410">
        <f>IF(H103&lt;='B1b '!$G$31,'B1b '!$H$31,IF(AND(H103&lt;='B1b '!$G$30,H103&gt;'B1b '!$G$31),0+(('B1b '!$H$31-'B1b '!$H$30)/('B1b '!$G$31-'B1b '!$G$30))*(H103-'B1b '!$G$30),0))</f>
        <v>0</v>
      </c>
      <c r="J103" s="411"/>
      <c r="K103" s="410">
        <v>70</v>
      </c>
      <c r="L103" s="410">
        <f>IF(K103&lt;='B1b '!$G$33,'B1b '!$H$33,IF(AND(K103&lt;='B1b '!$G$32,K103&gt;'B1b '!$G$33),0+(('B1b '!$H$33-'B1b '!$H$32)/('B1b '!$G$33-'B1b '!$G$32))*(K103-'B1b '!$G$32),0))</f>
        <v>0</v>
      </c>
      <c r="M103" s="404"/>
    </row>
    <row r="104" spans="2:13">
      <c r="B104" s="410"/>
      <c r="C104" s="410"/>
      <c r="D104" s="411"/>
      <c r="E104" s="410"/>
      <c r="F104" s="410"/>
      <c r="G104" s="411"/>
      <c r="H104" s="410">
        <v>145</v>
      </c>
      <c r="I104" s="410">
        <f>IF(H104&lt;='B1b '!$G$31,'B1b '!$H$31,IF(AND(H104&lt;='B1b '!$G$30,H104&gt;'B1b '!$G$31),0+(('B1b '!$H$31-'B1b '!$H$30)/('B1b '!$G$31-'B1b '!$G$30))*(H104-'B1b '!$G$30),0))</f>
        <v>0</v>
      </c>
      <c r="J104" s="411"/>
      <c r="K104" s="410"/>
      <c r="L104" s="410"/>
      <c r="M104" s="404"/>
    </row>
    <row r="105" spans="2:13">
      <c r="B105" s="410"/>
      <c r="C105" s="410"/>
      <c r="D105" s="411"/>
      <c r="E105" s="410"/>
      <c r="F105" s="410"/>
      <c r="G105" s="411"/>
      <c r="H105" s="410">
        <v>150</v>
      </c>
      <c r="I105" s="410">
        <f>IF(H105&lt;='B1b '!$G$31,'B1b '!$H$31,IF(AND(H105&lt;='B1b '!$G$30,H105&gt;'B1b '!$G$31),0+(('B1b '!$H$31-'B1b '!$H$30)/('B1b '!$G$31-'B1b '!$G$30))*(H105-'B1b '!$G$30),0))</f>
        <v>0</v>
      </c>
      <c r="J105" s="411"/>
      <c r="K105" s="410"/>
      <c r="L105" s="410"/>
      <c r="M105" s="404"/>
    </row>
    <row r="106" spans="2:13">
      <c r="B106" s="410"/>
      <c r="C106" s="410"/>
      <c r="D106" s="411"/>
      <c r="E106" s="410"/>
      <c r="F106" s="410"/>
      <c r="G106" s="411"/>
      <c r="H106" s="410"/>
      <c r="I106" s="410"/>
      <c r="J106" s="411"/>
      <c r="K106" s="410"/>
      <c r="L106" s="410"/>
      <c r="M106" s="404"/>
    </row>
    <row r="107" spans="2:13">
      <c r="B107" s="410"/>
      <c r="C107" s="410"/>
      <c r="D107" s="411"/>
      <c r="E107" s="410"/>
      <c r="F107" s="410"/>
      <c r="G107" s="411"/>
      <c r="H107" s="410"/>
      <c r="I107" s="410"/>
      <c r="J107" s="411"/>
      <c r="K107" s="410"/>
      <c r="L107" s="410"/>
      <c r="M107" s="404"/>
    </row>
    <row r="108" spans="2:13">
      <c r="B108" s="410"/>
      <c r="C108" s="410"/>
      <c r="D108" s="411"/>
      <c r="E108" s="410"/>
      <c r="F108" s="410"/>
      <c r="G108" s="411"/>
      <c r="H108" s="410"/>
      <c r="I108" s="410"/>
      <c r="J108" s="411"/>
      <c r="K108" s="410"/>
      <c r="L108" s="410"/>
      <c r="M108" s="404"/>
    </row>
    <row r="109" spans="2:13">
      <c r="B109" s="410"/>
      <c r="C109" s="410"/>
      <c r="D109" s="411"/>
      <c r="E109" s="410"/>
      <c r="F109" s="410"/>
      <c r="G109" s="411"/>
      <c r="H109" s="410"/>
      <c r="I109" s="410"/>
      <c r="J109" s="411"/>
      <c r="K109" s="410"/>
      <c r="L109" s="410"/>
      <c r="M109" s="404"/>
    </row>
    <row r="110" spans="2:13">
      <c r="B110" s="410"/>
      <c r="C110" s="410"/>
      <c r="D110" s="411"/>
      <c r="E110" s="410"/>
      <c r="F110" s="410"/>
      <c r="G110" s="411"/>
      <c r="H110" s="410"/>
      <c r="I110" s="410"/>
      <c r="J110" s="411"/>
      <c r="K110" s="410"/>
      <c r="L110" s="410"/>
      <c r="M110" s="404"/>
    </row>
    <row r="111" spans="2:13">
      <c r="B111" s="410"/>
      <c r="C111" s="410"/>
      <c r="D111" s="411"/>
      <c r="E111" s="410"/>
      <c r="F111" s="410"/>
      <c r="G111" s="411"/>
      <c r="H111" s="410"/>
      <c r="I111" s="410"/>
      <c r="J111" s="411"/>
      <c r="K111" s="410"/>
      <c r="L111" s="410"/>
      <c r="M111" s="404"/>
    </row>
    <row r="112" spans="2:13">
      <c r="B112" s="410"/>
      <c r="C112" s="410"/>
      <c r="D112" s="411"/>
      <c r="E112" s="410"/>
      <c r="F112" s="410"/>
      <c r="G112" s="411"/>
      <c r="H112" s="410"/>
      <c r="I112" s="410"/>
      <c r="J112" s="411"/>
      <c r="K112" s="410"/>
      <c r="L112" s="410"/>
      <c r="M112" s="404"/>
    </row>
    <row r="113" spans="2:13">
      <c r="B113" s="410"/>
      <c r="C113" s="410"/>
      <c r="D113" s="411"/>
      <c r="E113" s="410"/>
      <c r="F113" s="410"/>
      <c r="G113" s="411"/>
      <c r="H113" s="410"/>
      <c r="I113" s="410"/>
      <c r="J113" s="411"/>
      <c r="K113" s="410"/>
      <c r="L113" s="410"/>
      <c r="M113" s="404"/>
    </row>
    <row r="114" spans="2:13">
      <c r="B114" s="410"/>
      <c r="C114" s="410"/>
      <c r="D114" s="411"/>
      <c r="E114" s="410"/>
      <c r="F114" s="410"/>
      <c r="G114" s="411"/>
      <c r="H114" s="410"/>
      <c r="I114" s="410"/>
      <c r="J114" s="411"/>
      <c r="K114" s="410"/>
      <c r="L114" s="410"/>
      <c r="M114" s="404"/>
    </row>
    <row r="115" spans="2:13">
      <c r="B115" s="410"/>
      <c r="C115" s="410"/>
      <c r="D115" s="411"/>
      <c r="E115" s="410"/>
      <c r="F115" s="410"/>
      <c r="G115" s="411"/>
      <c r="H115" s="410"/>
      <c r="I115" s="410"/>
      <c r="J115" s="411"/>
      <c r="K115" s="410"/>
      <c r="L115" s="410"/>
      <c r="M115" s="404"/>
    </row>
    <row r="116" spans="2:13">
      <c r="B116" s="410"/>
      <c r="C116" s="410"/>
      <c r="D116" s="411"/>
      <c r="E116" s="410"/>
      <c r="F116" s="410"/>
      <c r="G116" s="411"/>
      <c r="H116" s="410"/>
      <c r="I116" s="410"/>
      <c r="J116" s="411"/>
      <c r="K116" s="410"/>
      <c r="L116" s="410"/>
      <c r="M116" s="404"/>
    </row>
    <row r="117" spans="2:13">
      <c r="B117" s="410"/>
      <c r="C117" s="410"/>
      <c r="D117" s="411"/>
      <c r="E117" s="410"/>
      <c r="F117" s="410"/>
      <c r="G117" s="411"/>
      <c r="H117" s="410"/>
      <c r="I117" s="410"/>
      <c r="J117" s="411"/>
      <c r="K117" s="410"/>
      <c r="L117" s="410"/>
      <c r="M117" s="404"/>
    </row>
    <row r="118" spans="2:13">
      <c r="B118" s="410"/>
      <c r="C118" s="410"/>
      <c r="D118" s="411"/>
      <c r="E118" s="410"/>
      <c r="F118" s="410"/>
      <c r="G118" s="411"/>
      <c r="H118" s="410"/>
      <c r="I118" s="410"/>
      <c r="J118" s="411"/>
      <c r="K118" s="410"/>
      <c r="L118" s="410"/>
      <c r="M118" s="404"/>
    </row>
    <row r="119" spans="2:13">
      <c r="B119" s="410"/>
      <c r="C119" s="410"/>
      <c r="D119" s="411"/>
      <c r="E119" s="410"/>
      <c r="F119" s="410"/>
      <c r="G119" s="411"/>
      <c r="H119" s="410"/>
      <c r="I119" s="410"/>
      <c r="J119" s="411"/>
      <c r="K119" s="410"/>
      <c r="L119" s="410"/>
      <c r="M119" s="404"/>
    </row>
    <row r="120" spans="2:13">
      <c r="B120" s="410"/>
      <c r="C120" s="410"/>
      <c r="D120" s="411"/>
      <c r="E120" s="410"/>
      <c r="F120" s="410"/>
      <c r="G120" s="411"/>
      <c r="H120" s="410"/>
      <c r="I120" s="410"/>
      <c r="J120" s="411"/>
      <c r="K120" s="410"/>
      <c r="L120" s="410"/>
      <c r="M120" s="404"/>
    </row>
    <row r="121" spans="2:13">
      <c r="B121" s="410"/>
      <c r="C121" s="410"/>
      <c r="D121" s="411"/>
      <c r="E121" s="410"/>
      <c r="F121" s="410"/>
      <c r="G121" s="411"/>
      <c r="H121" s="410"/>
      <c r="I121" s="410"/>
      <c r="J121" s="411"/>
      <c r="K121" s="410"/>
      <c r="L121" s="410"/>
      <c r="M121" s="404"/>
    </row>
    <row r="122" spans="2:13">
      <c r="B122" s="410"/>
      <c r="C122" s="410"/>
      <c r="D122" s="411"/>
      <c r="E122" s="410"/>
      <c r="F122" s="410"/>
      <c r="G122" s="411"/>
      <c r="H122" s="410"/>
      <c r="I122" s="410"/>
      <c r="J122" s="411"/>
      <c r="K122" s="410"/>
      <c r="L122" s="410"/>
      <c r="M122" s="404"/>
    </row>
    <row r="123" spans="2:13">
      <c r="B123" s="410"/>
      <c r="C123" s="410"/>
      <c r="D123" s="411"/>
      <c r="E123" s="410"/>
      <c r="F123" s="410"/>
      <c r="G123" s="411"/>
      <c r="H123" s="410"/>
      <c r="I123" s="410"/>
      <c r="J123" s="411"/>
      <c r="K123" s="410"/>
      <c r="L123" s="410"/>
      <c r="M123" s="404"/>
    </row>
    <row r="124" spans="2:13">
      <c r="B124" s="410"/>
      <c r="C124" s="410"/>
      <c r="D124" s="411"/>
      <c r="E124" s="410"/>
      <c r="F124" s="410"/>
      <c r="G124" s="411"/>
      <c r="H124" s="410"/>
      <c r="I124" s="410"/>
      <c r="J124" s="411"/>
      <c r="K124" s="410"/>
      <c r="L124" s="410"/>
      <c r="M124" s="404"/>
    </row>
    <row r="125" spans="2:13">
      <c r="B125" s="410"/>
      <c r="C125" s="410"/>
      <c r="D125" s="411"/>
      <c r="E125" s="410"/>
      <c r="F125" s="410"/>
      <c r="G125" s="411"/>
      <c r="H125" s="410"/>
      <c r="I125" s="410"/>
      <c r="J125" s="411"/>
      <c r="K125" s="410"/>
      <c r="L125" s="410"/>
      <c r="M125" s="404"/>
    </row>
    <row r="126" spans="2:13">
      <c r="B126" s="410"/>
      <c r="C126" s="410"/>
      <c r="D126" s="411"/>
      <c r="E126" s="410"/>
      <c r="F126" s="410"/>
      <c r="G126" s="411"/>
      <c r="H126" s="410"/>
      <c r="I126" s="410"/>
      <c r="J126" s="411"/>
      <c r="K126" s="410"/>
      <c r="L126" s="410"/>
      <c r="M126" s="404"/>
    </row>
    <row r="127" spans="2:13">
      <c r="B127" s="410"/>
      <c r="C127" s="410"/>
      <c r="D127" s="411"/>
      <c r="E127" s="410"/>
      <c r="F127" s="410"/>
      <c r="G127" s="411"/>
      <c r="H127" s="410"/>
      <c r="I127" s="410"/>
      <c r="J127" s="411"/>
      <c r="K127" s="410"/>
      <c r="L127" s="410"/>
      <c r="M127" s="404"/>
    </row>
    <row r="128" spans="2:13">
      <c r="B128" s="410"/>
      <c r="C128" s="410"/>
      <c r="D128" s="411"/>
      <c r="E128" s="410"/>
      <c r="F128" s="410"/>
      <c r="G128" s="411"/>
      <c r="H128" s="410"/>
      <c r="I128" s="410"/>
      <c r="J128" s="411"/>
      <c r="K128" s="410"/>
      <c r="L128" s="410"/>
      <c r="M128" s="404"/>
    </row>
    <row r="129" spans="2:13">
      <c r="B129" s="410"/>
      <c r="C129" s="410"/>
      <c r="D129" s="411"/>
      <c r="E129" s="410"/>
      <c r="F129" s="410"/>
      <c r="G129" s="411"/>
      <c r="H129" s="410"/>
      <c r="I129" s="410"/>
      <c r="J129" s="411"/>
      <c r="K129" s="410"/>
      <c r="L129" s="410"/>
      <c r="M129" s="404"/>
    </row>
    <row r="130" spans="2:13">
      <c r="B130" s="410"/>
      <c r="C130" s="410"/>
      <c r="D130" s="411"/>
      <c r="E130" s="410"/>
      <c r="F130" s="410"/>
      <c r="G130" s="411"/>
      <c r="H130" s="410"/>
      <c r="I130" s="410"/>
      <c r="J130" s="411"/>
      <c r="K130" s="410"/>
      <c r="L130" s="410"/>
      <c r="M130" s="404"/>
    </row>
    <row r="131" spans="2:13">
      <c r="B131" s="410"/>
      <c r="C131" s="410"/>
      <c r="D131" s="411"/>
      <c r="E131" s="410"/>
      <c r="F131" s="410"/>
      <c r="G131" s="411"/>
      <c r="H131" s="410"/>
      <c r="I131" s="410"/>
      <c r="J131" s="411"/>
      <c r="K131" s="410"/>
      <c r="L131" s="410"/>
      <c r="M131" s="404"/>
    </row>
    <row r="132" spans="2:13">
      <c r="B132" s="410"/>
      <c r="C132" s="410"/>
      <c r="D132" s="411"/>
      <c r="E132" s="410"/>
      <c r="F132" s="410"/>
      <c r="G132" s="411"/>
      <c r="H132" s="410"/>
      <c r="I132" s="410"/>
      <c r="J132" s="411"/>
      <c r="K132" s="410"/>
      <c r="L132" s="410"/>
      <c r="M132" s="404"/>
    </row>
    <row r="133" spans="2:13">
      <c r="B133" s="410"/>
      <c r="C133" s="410"/>
      <c r="D133" s="411"/>
      <c r="E133" s="410"/>
      <c r="F133" s="410"/>
      <c r="G133" s="411"/>
      <c r="H133" s="410"/>
      <c r="I133" s="410"/>
      <c r="J133" s="411"/>
      <c r="K133" s="410"/>
      <c r="L133" s="410"/>
      <c r="M133" s="404"/>
    </row>
    <row r="134" spans="2:13">
      <c r="B134" s="410"/>
      <c r="C134" s="410"/>
      <c r="D134" s="411"/>
      <c r="E134" s="410"/>
      <c r="F134" s="410"/>
      <c r="G134" s="411"/>
      <c r="H134" s="410"/>
      <c r="I134" s="410"/>
      <c r="J134" s="411"/>
      <c r="K134" s="410"/>
      <c r="L134" s="410"/>
      <c r="M134" s="404"/>
    </row>
    <row r="135" spans="2:13">
      <c r="B135" s="410"/>
      <c r="C135" s="410"/>
      <c r="D135" s="411"/>
      <c r="E135" s="410"/>
      <c r="F135" s="410"/>
      <c r="G135" s="411"/>
      <c r="H135" s="410"/>
      <c r="I135" s="410"/>
      <c r="J135" s="411"/>
      <c r="K135" s="410"/>
      <c r="L135" s="410"/>
      <c r="M135" s="404"/>
    </row>
    <row r="136" spans="2:13">
      <c r="B136" s="410"/>
      <c r="C136" s="410"/>
      <c r="D136" s="411"/>
      <c r="E136" s="410"/>
      <c r="F136" s="410"/>
      <c r="G136" s="411"/>
      <c r="H136" s="410"/>
      <c r="I136" s="410"/>
      <c r="J136" s="411"/>
      <c r="K136" s="410"/>
      <c r="L136" s="410"/>
      <c r="M136" s="404"/>
    </row>
    <row r="137" spans="2:13">
      <c r="B137" s="410"/>
      <c r="C137" s="410"/>
      <c r="D137" s="411"/>
      <c r="E137" s="410"/>
      <c r="F137" s="410"/>
      <c r="G137" s="411"/>
      <c r="H137" s="410"/>
      <c r="I137" s="410"/>
      <c r="J137" s="411"/>
      <c r="K137" s="410"/>
      <c r="L137" s="410"/>
      <c r="M137" s="404"/>
    </row>
    <row r="138" spans="2:13">
      <c r="B138" s="410"/>
      <c r="C138" s="410"/>
      <c r="D138" s="411"/>
      <c r="E138" s="410"/>
      <c r="F138" s="410"/>
      <c r="G138" s="411"/>
      <c r="H138" s="410"/>
      <c r="I138" s="410"/>
      <c r="J138" s="411"/>
      <c r="K138" s="410"/>
      <c r="L138" s="410"/>
      <c r="M138" s="404"/>
    </row>
    <row r="139" spans="2:13">
      <c r="B139" s="410"/>
      <c r="C139" s="410"/>
      <c r="D139" s="411"/>
      <c r="E139" s="410"/>
      <c r="F139" s="410"/>
      <c r="G139" s="411"/>
      <c r="H139" s="410"/>
      <c r="I139" s="410"/>
      <c r="J139" s="411"/>
      <c r="K139" s="410"/>
      <c r="L139" s="410"/>
      <c r="M139" s="404"/>
    </row>
    <row r="140" spans="2:13">
      <c r="B140" s="410"/>
      <c r="C140" s="410"/>
      <c r="D140" s="411"/>
      <c r="E140" s="410"/>
      <c r="F140" s="410"/>
      <c r="G140" s="411"/>
      <c r="H140" s="410"/>
      <c r="I140" s="410"/>
      <c r="J140" s="411"/>
      <c r="K140" s="410"/>
      <c r="L140" s="410"/>
      <c r="M140" s="404"/>
    </row>
    <row r="141" spans="2:13">
      <c r="B141" s="410"/>
      <c r="C141" s="410"/>
      <c r="D141" s="411"/>
      <c r="E141" s="410"/>
      <c r="F141" s="410"/>
      <c r="G141" s="411"/>
      <c r="H141" s="410"/>
      <c r="I141" s="410"/>
      <c r="J141" s="411"/>
      <c r="K141" s="410"/>
      <c r="L141" s="410"/>
      <c r="M141" s="404"/>
    </row>
    <row r="142" spans="2:13">
      <c r="B142" s="410"/>
      <c r="C142" s="410"/>
      <c r="D142" s="411"/>
      <c r="E142" s="410"/>
      <c r="F142" s="410"/>
      <c r="G142" s="411"/>
      <c r="H142" s="410"/>
      <c r="I142" s="410"/>
      <c r="J142" s="411"/>
      <c r="K142" s="410"/>
      <c r="L142" s="410"/>
      <c r="M142" s="404"/>
    </row>
    <row r="143" spans="2:13">
      <c r="B143" s="410"/>
      <c r="C143" s="410"/>
      <c r="D143" s="411"/>
      <c r="E143" s="410"/>
      <c r="F143" s="410"/>
      <c r="G143" s="411"/>
      <c r="H143" s="410"/>
      <c r="I143" s="410"/>
      <c r="J143" s="411"/>
      <c r="K143" s="410"/>
      <c r="L143" s="410"/>
      <c r="M143" s="404"/>
    </row>
    <row r="144" spans="2:13">
      <c r="B144" s="410"/>
      <c r="C144" s="410"/>
      <c r="D144" s="411"/>
      <c r="E144" s="410"/>
      <c r="F144" s="410"/>
      <c r="G144" s="411"/>
      <c r="H144" s="410"/>
      <c r="I144" s="410"/>
      <c r="J144" s="411"/>
      <c r="K144" s="410"/>
      <c r="L144" s="410"/>
      <c r="M144" s="404"/>
    </row>
    <row r="145" spans="2:13">
      <c r="B145" s="410"/>
      <c r="C145" s="410"/>
      <c r="D145" s="411"/>
      <c r="E145" s="410"/>
      <c r="F145" s="410"/>
      <c r="G145" s="411"/>
      <c r="H145" s="410"/>
      <c r="I145" s="410"/>
      <c r="J145" s="411"/>
      <c r="K145" s="410"/>
      <c r="L145" s="410"/>
      <c r="M145" s="404"/>
    </row>
    <row r="146" spans="2:13">
      <c r="B146" s="410"/>
      <c r="C146" s="410"/>
      <c r="D146" s="411"/>
      <c r="E146" s="410"/>
      <c r="F146" s="410"/>
      <c r="G146" s="411"/>
      <c r="H146" s="410"/>
      <c r="I146" s="410"/>
      <c r="J146" s="411"/>
      <c r="K146" s="410"/>
      <c r="L146" s="410"/>
      <c r="M146" s="404"/>
    </row>
    <row r="147" spans="2:13">
      <c r="B147" s="410"/>
      <c r="C147" s="410"/>
      <c r="D147" s="411"/>
      <c r="E147" s="410"/>
      <c r="F147" s="410"/>
      <c r="G147" s="411"/>
      <c r="H147" s="410"/>
      <c r="I147" s="410"/>
      <c r="J147" s="411"/>
      <c r="K147" s="410"/>
      <c r="L147" s="410"/>
      <c r="M147" s="404"/>
    </row>
    <row r="148" spans="2:13">
      <c r="B148" s="410"/>
      <c r="C148" s="410"/>
      <c r="D148" s="411"/>
      <c r="E148" s="410"/>
      <c r="F148" s="410"/>
      <c r="G148" s="411"/>
      <c r="H148" s="410"/>
      <c r="I148" s="410"/>
      <c r="J148" s="411"/>
      <c r="K148" s="410"/>
      <c r="L148" s="410"/>
      <c r="M148" s="404"/>
    </row>
    <row r="149" spans="2:13">
      <c r="B149" s="410"/>
      <c r="C149" s="410"/>
      <c r="D149" s="411"/>
      <c r="E149" s="410"/>
      <c r="F149" s="410"/>
      <c r="G149" s="411"/>
      <c r="H149" s="410"/>
      <c r="I149" s="410"/>
      <c r="J149" s="411"/>
      <c r="K149" s="410"/>
      <c r="L149" s="410"/>
      <c r="M149" s="404"/>
    </row>
    <row r="150" spans="2:13">
      <c r="B150" s="410"/>
      <c r="C150" s="410"/>
      <c r="D150" s="411"/>
      <c r="E150" s="410"/>
      <c r="F150" s="410"/>
      <c r="G150" s="411"/>
      <c r="H150" s="410"/>
      <c r="I150" s="410"/>
      <c r="J150" s="411"/>
      <c r="K150" s="410"/>
      <c r="L150" s="410"/>
      <c r="M150" s="404"/>
    </row>
    <row r="151" spans="2:13">
      <c r="B151" s="410"/>
      <c r="C151" s="410"/>
      <c r="D151" s="411"/>
      <c r="E151" s="410"/>
      <c r="F151" s="410"/>
      <c r="G151" s="411"/>
      <c r="H151" s="410"/>
      <c r="I151" s="410"/>
      <c r="J151" s="411"/>
      <c r="K151" s="410"/>
      <c r="L151" s="410"/>
      <c r="M151" s="404"/>
    </row>
    <row r="152" spans="2:13">
      <c r="B152" s="410"/>
      <c r="C152" s="410"/>
      <c r="D152" s="411"/>
      <c r="E152" s="410"/>
      <c r="F152" s="410"/>
      <c r="G152" s="411"/>
      <c r="H152" s="410"/>
      <c r="I152" s="410"/>
      <c r="J152" s="411"/>
      <c r="K152" s="410"/>
      <c r="L152" s="410"/>
      <c r="M152" s="404"/>
    </row>
    <row r="153" spans="2:13">
      <c r="B153" s="410"/>
      <c r="C153" s="410"/>
      <c r="D153" s="411"/>
      <c r="E153" s="410"/>
      <c r="F153" s="410"/>
      <c r="G153" s="411"/>
      <c r="H153" s="410"/>
      <c r="I153" s="410"/>
      <c r="J153" s="411"/>
      <c r="K153" s="410"/>
      <c r="L153" s="410"/>
      <c r="M153" s="404"/>
    </row>
    <row r="154" spans="2:13">
      <c r="B154" s="410"/>
      <c r="C154" s="410"/>
      <c r="D154" s="411"/>
      <c r="E154" s="410"/>
      <c r="F154" s="410"/>
      <c r="G154" s="411"/>
      <c r="H154" s="410"/>
      <c r="I154" s="410"/>
      <c r="J154" s="411"/>
      <c r="K154" s="410"/>
      <c r="L154" s="410"/>
      <c r="M154" s="404"/>
    </row>
    <row r="155" spans="2:13">
      <c r="B155" s="410"/>
      <c r="C155" s="410"/>
      <c r="D155" s="411"/>
      <c r="E155" s="410"/>
      <c r="F155" s="410"/>
      <c r="G155" s="411"/>
      <c r="H155" s="410"/>
      <c r="I155" s="410"/>
      <c r="J155" s="411"/>
      <c r="K155" s="410"/>
      <c r="L155" s="410"/>
      <c r="M155" s="404"/>
    </row>
    <row r="156" spans="2:13">
      <c r="B156" s="410"/>
      <c r="C156" s="410"/>
      <c r="D156" s="411"/>
      <c r="E156" s="410"/>
      <c r="F156" s="410"/>
      <c r="G156" s="411"/>
      <c r="H156" s="410"/>
      <c r="I156" s="410"/>
      <c r="J156" s="411"/>
      <c r="K156" s="410"/>
      <c r="L156" s="410"/>
      <c r="M156" s="404"/>
    </row>
    <row r="157" spans="2:13">
      <c r="B157" s="410"/>
      <c r="C157" s="410"/>
      <c r="D157" s="411"/>
      <c r="E157" s="410"/>
      <c r="F157" s="410"/>
      <c r="G157" s="411"/>
      <c r="H157" s="410"/>
      <c r="I157" s="410"/>
      <c r="J157" s="411"/>
      <c r="K157" s="410"/>
      <c r="L157" s="410"/>
      <c r="M157" s="404"/>
    </row>
    <row r="158" spans="2:13">
      <c r="B158" s="410"/>
      <c r="C158" s="410"/>
      <c r="D158" s="411"/>
      <c r="E158" s="410"/>
      <c r="F158" s="410"/>
      <c r="G158" s="411"/>
      <c r="H158" s="410"/>
      <c r="I158" s="410"/>
      <c r="J158" s="411"/>
      <c r="K158" s="410"/>
      <c r="L158" s="410"/>
      <c r="M158" s="404"/>
    </row>
    <row r="159" spans="2:13">
      <c r="B159" s="410"/>
      <c r="C159" s="410"/>
      <c r="D159" s="411"/>
      <c r="E159" s="410"/>
      <c r="F159" s="410"/>
      <c r="G159" s="411"/>
      <c r="H159" s="410"/>
      <c r="I159" s="410"/>
      <c r="J159" s="411"/>
      <c r="K159" s="410"/>
      <c r="L159" s="410"/>
      <c r="M159" s="404"/>
    </row>
    <row r="160" spans="2:13">
      <c r="B160" s="410"/>
      <c r="C160" s="410"/>
      <c r="D160" s="411"/>
      <c r="E160" s="410"/>
      <c r="F160" s="410"/>
      <c r="G160" s="411"/>
      <c r="H160" s="410"/>
      <c r="I160" s="410"/>
      <c r="J160" s="411"/>
      <c r="K160" s="410"/>
      <c r="L160" s="410"/>
      <c r="M160" s="404"/>
    </row>
    <row r="161" spans="2:13">
      <c r="B161" s="410"/>
      <c r="C161" s="410"/>
      <c r="D161" s="411"/>
      <c r="E161" s="410"/>
      <c r="F161" s="410"/>
      <c r="G161" s="411"/>
      <c r="H161" s="410"/>
      <c r="I161" s="410"/>
      <c r="J161" s="411"/>
      <c r="K161" s="410"/>
      <c r="L161" s="410"/>
      <c r="M161" s="404"/>
    </row>
    <row r="162" spans="2:13">
      <c r="B162" s="410"/>
      <c r="C162" s="410"/>
      <c r="D162" s="411"/>
      <c r="E162" s="410"/>
      <c r="F162" s="410"/>
      <c r="G162" s="411"/>
      <c r="H162" s="410"/>
      <c r="I162" s="410"/>
      <c r="J162" s="411"/>
      <c r="K162" s="410"/>
      <c r="L162" s="410"/>
      <c r="M162" s="404"/>
    </row>
    <row r="163" spans="2:13">
      <c r="B163" s="410"/>
      <c r="C163" s="410"/>
      <c r="D163" s="411"/>
      <c r="E163" s="410"/>
      <c r="F163" s="410"/>
      <c r="G163" s="411"/>
      <c r="H163" s="410"/>
      <c r="I163" s="410"/>
      <c r="J163" s="411"/>
      <c r="K163" s="410"/>
      <c r="L163" s="410"/>
      <c r="M163" s="404"/>
    </row>
    <row r="164" spans="2:13">
      <c r="B164" s="410"/>
      <c r="C164" s="410"/>
      <c r="D164" s="411"/>
      <c r="E164" s="410"/>
      <c r="F164" s="410"/>
      <c r="G164" s="411"/>
      <c r="H164" s="410"/>
      <c r="I164" s="410"/>
      <c r="J164" s="411"/>
      <c r="K164" s="410"/>
      <c r="L164" s="410"/>
      <c r="M164" s="404"/>
    </row>
    <row r="165" spans="2:13">
      <c r="B165" s="410"/>
      <c r="C165" s="410"/>
      <c r="D165" s="411"/>
      <c r="E165" s="410"/>
      <c r="F165" s="410"/>
      <c r="G165" s="411"/>
      <c r="H165" s="410"/>
      <c r="I165" s="410"/>
      <c r="J165" s="411"/>
      <c r="K165" s="410"/>
      <c r="L165" s="410"/>
      <c r="M165" s="404"/>
    </row>
    <row r="166" spans="2:13">
      <c r="B166" s="410"/>
      <c r="C166" s="410"/>
      <c r="D166" s="411"/>
      <c r="E166" s="410"/>
      <c r="F166" s="410"/>
      <c r="G166" s="411"/>
      <c r="H166" s="410"/>
      <c r="I166" s="410"/>
      <c r="J166" s="411"/>
      <c r="K166" s="410"/>
      <c r="L166" s="410"/>
      <c r="M166" s="404"/>
    </row>
    <row r="167" spans="2:13">
      <c r="B167" s="410"/>
      <c r="C167" s="410"/>
      <c r="D167" s="411"/>
      <c r="E167" s="410"/>
      <c r="F167" s="410"/>
      <c r="G167" s="411"/>
      <c r="H167" s="410"/>
      <c r="I167" s="410"/>
      <c r="J167" s="411"/>
      <c r="K167" s="410"/>
      <c r="L167" s="410"/>
      <c r="M167" s="404"/>
    </row>
    <row r="168" spans="2:13">
      <c r="B168" s="410"/>
      <c r="C168" s="410"/>
      <c r="D168" s="411"/>
      <c r="E168" s="410"/>
      <c r="F168" s="410"/>
      <c r="G168" s="411"/>
      <c r="H168" s="410"/>
      <c r="I168" s="410"/>
      <c r="J168" s="411"/>
      <c r="K168" s="410"/>
      <c r="L168" s="410"/>
      <c r="M168" s="404"/>
    </row>
    <row r="169" spans="2:13">
      <c r="B169" s="410"/>
      <c r="C169" s="410"/>
      <c r="D169" s="411"/>
      <c r="E169" s="410"/>
      <c r="F169" s="410"/>
      <c r="G169" s="411"/>
      <c r="H169" s="410"/>
      <c r="I169" s="410"/>
      <c r="J169" s="411"/>
      <c r="K169" s="410"/>
      <c r="L169" s="410"/>
      <c r="M169" s="404"/>
    </row>
    <row r="170" spans="2:13">
      <c r="B170" s="410"/>
      <c r="C170" s="410"/>
      <c r="D170" s="411"/>
      <c r="E170" s="410"/>
      <c r="F170" s="410"/>
      <c r="G170" s="411"/>
      <c r="H170" s="410"/>
      <c r="I170" s="410"/>
      <c r="J170" s="411"/>
      <c r="K170" s="410"/>
      <c r="L170" s="410"/>
      <c r="M170" s="404"/>
    </row>
    <row r="171" spans="2:13">
      <c r="B171" s="410"/>
      <c r="C171" s="410"/>
      <c r="D171" s="411"/>
      <c r="E171" s="410"/>
      <c r="F171" s="410"/>
      <c r="G171" s="411"/>
      <c r="H171" s="410"/>
      <c r="I171" s="410"/>
      <c r="J171" s="411"/>
      <c r="K171" s="410"/>
      <c r="L171" s="410"/>
      <c r="M171" s="404"/>
    </row>
    <row r="172" spans="2:13">
      <c r="B172" s="410"/>
      <c r="C172" s="410"/>
      <c r="D172" s="411"/>
      <c r="E172" s="410"/>
      <c r="F172" s="410"/>
      <c r="G172" s="411"/>
      <c r="H172" s="410"/>
      <c r="I172" s="410"/>
      <c r="J172" s="411"/>
      <c r="K172" s="410"/>
      <c r="L172" s="410"/>
      <c r="M172" s="404"/>
    </row>
    <row r="173" spans="2:13">
      <c r="B173" s="410"/>
      <c r="C173" s="410"/>
      <c r="D173" s="411"/>
      <c r="E173" s="410"/>
      <c r="F173" s="410"/>
      <c r="G173" s="411"/>
      <c r="H173" s="410"/>
      <c r="I173" s="410"/>
      <c r="J173" s="411"/>
      <c r="K173" s="410"/>
      <c r="L173" s="410"/>
      <c r="M173" s="404"/>
    </row>
    <row r="174" spans="2:13">
      <c r="B174" s="410"/>
      <c r="C174" s="410"/>
      <c r="D174" s="411"/>
      <c r="E174" s="410"/>
      <c r="F174" s="410"/>
      <c r="G174" s="411"/>
      <c r="H174" s="410"/>
      <c r="I174" s="410"/>
      <c r="J174" s="411"/>
      <c r="K174" s="410"/>
      <c r="L174" s="410"/>
      <c r="M174" s="404"/>
    </row>
    <row r="175" spans="2:13">
      <c r="B175" s="410"/>
      <c r="C175" s="410"/>
      <c r="D175" s="411"/>
      <c r="E175" s="410"/>
      <c r="F175" s="410"/>
      <c r="G175" s="411"/>
      <c r="H175" s="410"/>
      <c r="I175" s="410"/>
      <c r="J175" s="411"/>
      <c r="K175" s="410"/>
      <c r="L175" s="410"/>
      <c r="M175" s="404"/>
    </row>
    <row r="176" spans="2:13">
      <c r="B176" s="410"/>
      <c r="C176" s="410"/>
      <c r="D176" s="411"/>
      <c r="E176" s="410"/>
      <c r="F176" s="410"/>
      <c r="G176" s="411"/>
      <c r="H176" s="410"/>
      <c r="I176" s="410"/>
      <c r="J176" s="411"/>
      <c r="K176" s="410"/>
      <c r="L176" s="410"/>
      <c r="M176" s="404"/>
    </row>
    <row r="177" spans="2:13">
      <c r="B177" s="410"/>
      <c r="C177" s="410"/>
      <c r="D177" s="411"/>
      <c r="E177" s="410"/>
      <c r="F177" s="410"/>
      <c r="G177" s="411"/>
      <c r="H177" s="410"/>
      <c r="I177" s="410"/>
      <c r="J177" s="411"/>
      <c r="K177" s="410"/>
      <c r="L177" s="410"/>
      <c r="M177" s="404"/>
    </row>
    <row r="178" spans="2:13">
      <c r="B178" s="410"/>
      <c r="C178" s="410"/>
      <c r="D178" s="411"/>
      <c r="E178" s="410"/>
      <c r="F178" s="410"/>
      <c r="G178" s="411"/>
      <c r="H178" s="410"/>
      <c r="I178" s="410"/>
      <c r="J178" s="411"/>
      <c r="K178" s="410"/>
      <c r="L178" s="410"/>
      <c r="M178" s="404"/>
    </row>
    <row r="179" spans="2:13">
      <c r="B179" s="410"/>
      <c r="C179" s="410"/>
      <c r="D179" s="411"/>
      <c r="E179" s="410"/>
      <c r="F179" s="410"/>
      <c r="G179" s="411"/>
      <c r="H179" s="410"/>
      <c r="I179" s="410"/>
      <c r="J179" s="411"/>
      <c r="K179" s="410"/>
      <c r="L179" s="410"/>
      <c r="M179" s="404"/>
    </row>
    <row r="180" spans="2:13">
      <c r="B180" s="410"/>
      <c r="C180" s="410"/>
      <c r="D180" s="411"/>
      <c r="E180" s="410"/>
      <c r="F180" s="410"/>
      <c r="G180" s="411"/>
      <c r="H180" s="410"/>
      <c r="I180" s="410"/>
      <c r="J180" s="411"/>
      <c r="K180" s="410"/>
      <c r="L180" s="410"/>
      <c r="M180" s="404"/>
    </row>
    <row r="181" spans="2:13">
      <c r="B181" s="410"/>
      <c r="C181" s="410"/>
      <c r="D181" s="411"/>
      <c r="E181" s="410"/>
      <c r="F181" s="410"/>
      <c r="G181" s="411"/>
      <c r="H181" s="410"/>
      <c r="I181" s="410"/>
      <c r="J181" s="411"/>
      <c r="K181" s="410"/>
      <c r="L181" s="410"/>
      <c r="M181" s="404"/>
    </row>
    <row r="182" spans="2:13">
      <c r="B182" s="410"/>
      <c r="C182" s="410"/>
      <c r="D182" s="411"/>
      <c r="E182" s="410"/>
      <c r="F182" s="410"/>
      <c r="G182" s="411"/>
      <c r="H182" s="410"/>
      <c r="I182" s="410"/>
      <c r="J182" s="411"/>
      <c r="K182" s="410"/>
      <c r="L182" s="410"/>
      <c r="M182" s="404"/>
    </row>
    <row r="183" spans="2:13">
      <c r="B183" s="410"/>
      <c r="C183" s="410"/>
      <c r="D183" s="411"/>
      <c r="E183" s="410"/>
      <c r="F183" s="410"/>
      <c r="G183" s="411"/>
      <c r="H183" s="410"/>
      <c r="I183" s="410"/>
      <c r="J183" s="411"/>
      <c r="K183" s="410"/>
      <c r="L183" s="410"/>
      <c r="M183" s="404"/>
    </row>
    <row r="184" spans="2:13">
      <c r="B184" s="410"/>
      <c r="C184" s="410"/>
      <c r="D184" s="411"/>
      <c r="E184" s="410"/>
      <c r="F184" s="410"/>
      <c r="G184" s="411"/>
      <c r="H184" s="410"/>
      <c r="I184" s="410"/>
      <c r="J184" s="411"/>
      <c r="K184" s="410"/>
      <c r="L184" s="410"/>
      <c r="M184" s="404"/>
    </row>
    <row r="185" spans="2:13">
      <c r="B185" s="410"/>
      <c r="C185" s="410"/>
      <c r="D185" s="411"/>
      <c r="E185" s="410"/>
      <c r="F185" s="410"/>
      <c r="G185" s="411"/>
      <c r="H185" s="410"/>
      <c r="I185" s="410"/>
      <c r="J185" s="411"/>
      <c r="K185" s="410"/>
      <c r="L185" s="410"/>
      <c r="M185" s="404"/>
    </row>
    <row r="186" spans="2:13">
      <c r="B186" s="410"/>
      <c r="C186" s="410"/>
      <c r="D186" s="411"/>
      <c r="E186" s="410"/>
      <c r="F186" s="410"/>
      <c r="G186" s="411"/>
      <c r="H186" s="410"/>
      <c r="I186" s="410"/>
      <c r="J186" s="411"/>
      <c r="K186" s="410"/>
      <c r="L186" s="410"/>
      <c r="M186" s="404"/>
    </row>
    <row r="187" spans="2:13">
      <c r="B187" s="410"/>
      <c r="C187" s="410"/>
      <c r="D187" s="411"/>
      <c r="E187" s="410"/>
      <c r="F187" s="410"/>
      <c r="G187" s="411"/>
      <c r="H187" s="410"/>
      <c r="I187" s="410"/>
      <c r="J187" s="411"/>
      <c r="K187" s="410"/>
      <c r="L187" s="410"/>
      <c r="M187" s="404"/>
    </row>
    <row r="188" spans="2:13">
      <c r="B188" s="410"/>
      <c r="C188" s="410"/>
      <c r="D188" s="411"/>
      <c r="E188" s="410"/>
      <c r="F188" s="410"/>
      <c r="G188" s="411"/>
      <c r="H188" s="410"/>
      <c r="I188" s="410"/>
      <c r="J188" s="411"/>
      <c r="K188" s="410"/>
      <c r="L188" s="410"/>
      <c r="M188" s="404"/>
    </row>
    <row r="189" spans="2:13">
      <c r="B189" s="410"/>
      <c r="C189" s="410"/>
      <c r="D189" s="411"/>
      <c r="E189" s="410"/>
      <c r="F189" s="410"/>
      <c r="G189" s="411"/>
      <c r="H189" s="410"/>
      <c r="I189" s="410"/>
      <c r="J189" s="411"/>
      <c r="K189" s="410"/>
      <c r="L189" s="410"/>
      <c r="M189" s="404"/>
    </row>
    <row r="190" spans="2:13">
      <c r="B190" s="410"/>
      <c r="C190" s="410"/>
      <c r="D190" s="411"/>
      <c r="E190" s="410"/>
      <c r="F190" s="410"/>
      <c r="G190" s="411"/>
      <c r="H190" s="410"/>
      <c r="I190" s="410"/>
      <c r="J190" s="411"/>
      <c r="K190" s="410"/>
      <c r="L190" s="410"/>
      <c r="M190" s="404"/>
    </row>
    <row r="191" spans="2:13">
      <c r="B191" s="410"/>
      <c r="C191" s="410"/>
      <c r="D191" s="411"/>
      <c r="E191" s="410"/>
      <c r="F191" s="410"/>
      <c r="G191" s="411"/>
      <c r="H191" s="410"/>
      <c r="I191" s="410"/>
      <c r="J191" s="411"/>
      <c r="K191" s="410"/>
      <c r="L191" s="410"/>
      <c r="M191" s="404"/>
    </row>
    <row r="192" spans="2:13">
      <c r="B192" s="410"/>
      <c r="C192" s="410"/>
      <c r="D192" s="411"/>
      <c r="E192" s="410"/>
      <c r="F192" s="410"/>
      <c r="G192" s="411"/>
      <c r="H192" s="410"/>
      <c r="I192" s="410"/>
      <c r="J192" s="411"/>
      <c r="K192" s="410"/>
      <c r="L192" s="410"/>
      <c r="M192" s="404"/>
    </row>
    <row r="193" spans="2:13">
      <c r="B193" s="410"/>
      <c r="C193" s="410"/>
      <c r="D193" s="411"/>
      <c r="E193" s="410"/>
      <c r="F193" s="410"/>
      <c r="G193" s="411"/>
      <c r="H193" s="410"/>
      <c r="I193" s="410"/>
      <c r="J193" s="411"/>
      <c r="K193" s="410"/>
      <c r="L193" s="410"/>
      <c r="M193" s="404"/>
    </row>
    <row r="194" spans="2:13">
      <c r="B194" s="410"/>
      <c r="C194" s="410"/>
      <c r="D194" s="411"/>
      <c r="E194" s="410"/>
      <c r="F194" s="410"/>
      <c r="G194" s="411"/>
      <c r="H194" s="410"/>
      <c r="I194" s="410"/>
      <c r="J194" s="411"/>
      <c r="K194" s="410"/>
      <c r="L194" s="410"/>
      <c r="M194" s="404"/>
    </row>
    <row r="195" spans="2:13">
      <c r="B195" s="410"/>
      <c r="C195" s="410"/>
      <c r="D195" s="411"/>
      <c r="E195" s="410"/>
      <c r="F195" s="410"/>
      <c r="G195" s="411"/>
      <c r="H195" s="410"/>
      <c r="I195" s="410"/>
      <c r="J195" s="411"/>
      <c r="K195" s="410"/>
      <c r="L195" s="410"/>
      <c r="M195" s="404"/>
    </row>
    <row r="196" spans="2:13">
      <c r="B196" s="410"/>
      <c r="C196" s="410"/>
      <c r="D196" s="411"/>
      <c r="E196" s="410"/>
      <c r="F196" s="410"/>
      <c r="G196" s="411"/>
      <c r="H196" s="410"/>
      <c r="I196" s="410"/>
      <c r="J196" s="411"/>
      <c r="K196" s="410"/>
      <c r="L196" s="410"/>
      <c r="M196" s="404"/>
    </row>
    <row r="197" spans="2:13">
      <c r="B197" s="410"/>
      <c r="C197" s="410"/>
      <c r="D197" s="411"/>
      <c r="E197" s="410"/>
      <c r="F197" s="410"/>
      <c r="G197" s="411"/>
      <c r="H197" s="410"/>
      <c r="I197" s="410"/>
      <c r="J197" s="411"/>
      <c r="K197" s="410"/>
      <c r="L197" s="410"/>
      <c r="M197" s="404"/>
    </row>
    <row r="198" spans="2:13">
      <c r="B198" s="410"/>
      <c r="C198" s="410"/>
      <c r="D198" s="411"/>
      <c r="E198" s="410"/>
      <c r="F198" s="410"/>
      <c r="G198" s="411"/>
      <c r="H198" s="410"/>
      <c r="I198" s="410"/>
      <c r="J198" s="411"/>
      <c r="K198" s="410"/>
      <c r="L198" s="410"/>
      <c r="M198" s="404"/>
    </row>
    <row r="199" spans="2:13">
      <c r="B199" s="410"/>
      <c r="C199" s="410"/>
      <c r="D199" s="411"/>
      <c r="E199" s="410"/>
      <c r="F199" s="410"/>
      <c r="G199" s="411"/>
      <c r="H199" s="410"/>
      <c r="I199" s="410"/>
      <c r="J199" s="411"/>
      <c r="K199" s="410"/>
      <c r="L199" s="410"/>
      <c r="M199" s="404"/>
    </row>
    <row r="200" spans="2:13">
      <c r="B200" s="410"/>
      <c r="C200" s="410"/>
      <c r="D200" s="411"/>
      <c r="E200" s="410"/>
      <c r="F200" s="410"/>
      <c r="G200" s="411"/>
      <c r="H200" s="410"/>
      <c r="I200" s="410"/>
      <c r="J200" s="411"/>
      <c r="K200" s="410"/>
      <c r="L200" s="410"/>
      <c r="M200" s="404"/>
    </row>
    <row r="201" spans="2:13">
      <c r="B201" s="410"/>
      <c r="C201" s="410"/>
      <c r="D201" s="411"/>
      <c r="E201" s="410"/>
      <c r="F201" s="410"/>
      <c r="G201" s="411"/>
      <c r="H201" s="410"/>
      <c r="I201" s="410"/>
      <c r="J201" s="411"/>
      <c r="K201" s="410"/>
      <c r="L201" s="410"/>
      <c r="M201" s="404"/>
    </row>
    <row r="202" spans="2:13">
      <c r="B202" s="410"/>
      <c r="C202" s="410"/>
      <c r="D202" s="411"/>
      <c r="E202" s="410"/>
      <c r="F202" s="410"/>
      <c r="G202" s="411"/>
      <c r="H202" s="410"/>
      <c r="I202" s="410"/>
      <c r="J202" s="411"/>
      <c r="K202" s="410"/>
      <c r="L202" s="410"/>
      <c r="M202" s="404"/>
    </row>
    <row r="203" spans="2:13">
      <c r="B203" s="410"/>
      <c r="C203" s="410"/>
      <c r="D203" s="411"/>
      <c r="E203" s="410"/>
      <c r="F203" s="410"/>
      <c r="G203" s="411"/>
      <c r="H203" s="410"/>
      <c r="I203" s="410"/>
      <c r="J203" s="411"/>
      <c r="K203" s="410"/>
      <c r="L203" s="410"/>
      <c r="M203" s="404"/>
    </row>
    <row r="204" spans="2:13">
      <c r="B204" s="410"/>
      <c r="C204" s="410"/>
      <c r="D204" s="411"/>
      <c r="E204" s="410"/>
      <c r="F204" s="410"/>
      <c r="G204" s="411"/>
      <c r="H204" s="410"/>
      <c r="I204" s="410"/>
      <c r="J204" s="411"/>
      <c r="K204" s="410"/>
      <c r="L204" s="410"/>
      <c r="M204" s="404"/>
    </row>
    <row r="205" spans="2:13">
      <c r="B205" s="410"/>
      <c r="C205" s="410"/>
      <c r="D205" s="411"/>
      <c r="E205" s="410"/>
      <c r="F205" s="410"/>
      <c r="G205" s="411"/>
      <c r="H205" s="410"/>
      <c r="I205" s="410"/>
      <c r="J205" s="411"/>
      <c r="K205" s="410"/>
      <c r="L205" s="410"/>
      <c r="M205" s="404"/>
    </row>
    <row r="206" spans="2:13">
      <c r="B206" s="410"/>
      <c r="C206" s="410"/>
      <c r="D206" s="411"/>
      <c r="E206" s="410"/>
      <c r="F206" s="410"/>
      <c r="G206" s="411"/>
      <c r="H206" s="410"/>
      <c r="I206" s="410"/>
      <c r="J206" s="411"/>
      <c r="K206" s="410"/>
      <c r="L206" s="410"/>
      <c r="M206" s="404"/>
    </row>
    <row r="207" spans="2:13">
      <c r="B207" s="410"/>
      <c r="C207" s="410"/>
      <c r="D207" s="411"/>
      <c r="E207" s="410"/>
      <c r="F207" s="410"/>
      <c r="G207" s="411"/>
      <c r="H207" s="410"/>
      <c r="I207" s="410"/>
      <c r="J207" s="411"/>
      <c r="K207" s="410"/>
      <c r="L207" s="410"/>
      <c r="M207" s="404"/>
    </row>
    <row r="208" spans="2:13">
      <c r="B208" s="410"/>
      <c r="C208" s="410"/>
      <c r="D208" s="411"/>
      <c r="E208" s="410"/>
      <c r="F208" s="410"/>
      <c r="G208" s="411"/>
      <c r="H208" s="410"/>
      <c r="I208" s="410"/>
      <c r="J208" s="411"/>
      <c r="K208" s="410"/>
      <c r="L208" s="410"/>
      <c r="M208" s="404"/>
    </row>
    <row r="209" spans="2:13">
      <c r="B209" s="410"/>
      <c r="C209" s="410"/>
      <c r="D209" s="411"/>
      <c r="E209" s="410"/>
      <c r="F209" s="410"/>
      <c r="G209" s="411"/>
      <c r="H209" s="410"/>
      <c r="I209" s="410"/>
      <c r="J209" s="411"/>
      <c r="K209" s="410"/>
      <c r="L209" s="410"/>
      <c r="M209" s="404"/>
    </row>
    <row r="210" spans="2:13">
      <c r="B210" s="410"/>
      <c r="C210" s="410"/>
      <c r="D210" s="411"/>
      <c r="E210" s="410"/>
      <c r="F210" s="410"/>
      <c r="G210" s="411"/>
      <c r="H210" s="410"/>
      <c r="I210" s="410"/>
      <c r="J210" s="411"/>
      <c r="K210" s="410"/>
      <c r="L210" s="410"/>
      <c r="M210" s="404"/>
    </row>
    <row r="211" spans="2:13">
      <c r="B211" s="410"/>
      <c r="C211" s="410"/>
      <c r="D211" s="411"/>
      <c r="E211" s="410"/>
      <c r="F211" s="410"/>
      <c r="G211" s="411"/>
      <c r="H211" s="410"/>
      <c r="I211" s="410"/>
      <c r="J211" s="411"/>
      <c r="K211" s="410"/>
      <c r="L211" s="410"/>
      <c r="M211" s="404"/>
    </row>
    <row r="212" spans="2:13">
      <c r="B212" s="410"/>
      <c r="C212" s="410"/>
      <c r="D212" s="411"/>
      <c r="E212" s="410"/>
      <c r="F212" s="410"/>
      <c r="G212" s="411"/>
      <c r="H212" s="410"/>
      <c r="I212" s="410"/>
      <c r="J212" s="411"/>
      <c r="K212" s="410"/>
      <c r="L212" s="410"/>
      <c r="M212" s="404"/>
    </row>
    <row r="213" spans="2:13">
      <c r="B213" s="410"/>
      <c r="C213" s="410"/>
      <c r="D213" s="411"/>
      <c r="E213" s="410"/>
      <c r="F213" s="410"/>
      <c r="G213" s="411"/>
      <c r="H213" s="410"/>
      <c r="I213" s="410"/>
      <c r="J213" s="411"/>
      <c r="K213" s="410"/>
      <c r="L213" s="410"/>
      <c r="M213" s="404"/>
    </row>
    <row r="214" spans="2:13">
      <c r="B214" s="410"/>
      <c r="C214" s="410"/>
      <c r="D214" s="411"/>
      <c r="E214" s="410"/>
      <c r="F214" s="410"/>
      <c r="G214" s="411"/>
      <c r="H214" s="410"/>
      <c r="I214" s="410"/>
      <c r="J214" s="411"/>
      <c r="K214" s="410"/>
      <c r="L214" s="410"/>
      <c r="M214" s="404"/>
    </row>
    <row r="215" spans="2:13">
      <c r="B215" s="410"/>
      <c r="C215" s="410"/>
      <c r="D215" s="411"/>
      <c r="E215" s="410"/>
      <c r="F215" s="410"/>
      <c r="G215" s="411"/>
      <c r="H215" s="410"/>
      <c r="I215" s="410"/>
      <c r="J215" s="411"/>
      <c r="K215" s="410"/>
      <c r="L215" s="410"/>
      <c r="M215" s="404"/>
    </row>
    <row r="216" spans="2:13">
      <c r="B216" s="410"/>
      <c r="C216" s="410"/>
      <c r="D216" s="411"/>
      <c r="E216" s="410"/>
      <c r="F216" s="410"/>
      <c r="G216" s="411"/>
      <c r="H216" s="410"/>
      <c r="I216" s="410"/>
      <c r="J216" s="411"/>
      <c r="K216" s="410"/>
      <c r="L216" s="410"/>
      <c r="M216" s="404"/>
    </row>
    <row r="217" spans="2:13">
      <c r="B217" s="410"/>
      <c r="C217" s="410"/>
      <c r="D217" s="411"/>
      <c r="E217" s="410"/>
      <c r="F217" s="410"/>
      <c r="G217" s="411"/>
      <c r="H217" s="410"/>
      <c r="I217" s="410"/>
      <c r="J217" s="411"/>
      <c r="K217" s="410"/>
      <c r="L217" s="410"/>
      <c r="M217" s="404"/>
    </row>
    <row r="218" spans="2:13">
      <c r="B218" s="410"/>
      <c r="C218" s="410"/>
      <c r="D218" s="411"/>
      <c r="E218" s="410"/>
      <c r="F218" s="410"/>
      <c r="G218" s="411"/>
      <c r="H218" s="410"/>
      <c r="I218" s="410"/>
      <c r="J218" s="411"/>
      <c r="K218" s="410"/>
      <c r="L218" s="410"/>
      <c r="M218" s="404"/>
    </row>
    <row r="219" spans="2:13">
      <c r="B219" s="410"/>
      <c r="C219" s="410"/>
      <c r="D219" s="411"/>
      <c r="E219" s="410"/>
      <c r="F219" s="410"/>
      <c r="G219" s="411"/>
      <c r="H219" s="410"/>
      <c r="I219" s="410"/>
      <c r="J219" s="411"/>
      <c r="K219" s="410"/>
      <c r="L219" s="410"/>
      <c r="M219" s="404"/>
    </row>
    <row r="220" spans="2:13">
      <c r="B220" s="410"/>
      <c r="C220" s="410"/>
      <c r="D220" s="411"/>
      <c r="E220" s="410"/>
      <c r="F220" s="410"/>
      <c r="G220" s="411"/>
      <c r="H220" s="410"/>
      <c r="I220" s="410"/>
      <c r="J220" s="411"/>
      <c r="K220" s="410"/>
      <c r="L220" s="410"/>
      <c r="M220" s="404"/>
    </row>
    <row r="221" spans="2:13">
      <c r="B221" s="410"/>
      <c r="C221" s="410"/>
      <c r="D221" s="411"/>
      <c r="E221" s="410"/>
      <c r="F221" s="410"/>
      <c r="G221" s="411"/>
      <c r="H221" s="410"/>
      <c r="I221" s="410"/>
      <c r="J221" s="411"/>
      <c r="K221" s="410"/>
      <c r="L221" s="410"/>
      <c r="M221" s="404"/>
    </row>
    <row r="222" spans="2:13">
      <c r="B222" s="410"/>
      <c r="C222" s="410"/>
      <c r="D222" s="411"/>
      <c r="E222" s="410"/>
      <c r="F222" s="410"/>
      <c r="G222" s="411"/>
      <c r="H222" s="410"/>
      <c r="I222" s="410"/>
      <c r="J222" s="411"/>
      <c r="K222" s="410"/>
      <c r="L222" s="410"/>
      <c r="M222" s="404"/>
    </row>
    <row r="223" spans="2:13">
      <c r="B223" s="410"/>
      <c r="C223" s="410"/>
      <c r="D223" s="411"/>
      <c r="E223" s="410"/>
      <c r="F223" s="410"/>
      <c r="G223" s="411"/>
      <c r="H223" s="410"/>
      <c r="I223" s="410"/>
      <c r="J223" s="411"/>
      <c r="K223" s="410"/>
      <c r="L223" s="410"/>
      <c r="M223" s="404"/>
    </row>
    <row r="224" spans="2:13">
      <c r="B224" s="410"/>
      <c r="C224" s="410"/>
      <c r="D224" s="411"/>
      <c r="E224" s="410"/>
      <c r="F224" s="410"/>
      <c r="G224" s="411"/>
      <c r="H224" s="410"/>
      <c r="I224" s="410"/>
      <c r="J224" s="411"/>
      <c r="K224" s="410"/>
      <c r="L224" s="410"/>
      <c r="M224" s="404"/>
    </row>
    <row r="225" spans="2:13">
      <c r="B225" s="410"/>
      <c r="C225" s="410"/>
      <c r="D225" s="411"/>
      <c r="E225" s="410"/>
      <c r="F225" s="410"/>
      <c r="G225" s="411"/>
      <c r="H225" s="410"/>
      <c r="I225" s="410"/>
      <c r="J225" s="411"/>
      <c r="K225" s="410"/>
      <c r="L225" s="410"/>
      <c r="M225" s="404"/>
    </row>
    <row r="226" spans="2:13">
      <c r="B226" s="410"/>
      <c r="C226" s="410"/>
      <c r="D226" s="411"/>
      <c r="E226" s="410"/>
      <c r="F226" s="410"/>
      <c r="G226" s="411"/>
      <c r="H226" s="410"/>
      <c r="I226" s="410"/>
      <c r="J226" s="411"/>
      <c r="K226" s="410"/>
      <c r="L226" s="410"/>
      <c r="M226" s="404"/>
    </row>
    <row r="227" spans="2:13">
      <c r="B227" s="410"/>
      <c r="C227" s="410"/>
      <c r="D227" s="411"/>
      <c r="E227" s="410"/>
      <c r="F227" s="410"/>
      <c r="G227" s="411"/>
      <c r="H227" s="410"/>
      <c r="I227" s="410"/>
      <c r="J227" s="411"/>
      <c r="K227" s="410"/>
      <c r="L227" s="410"/>
      <c r="M227" s="404"/>
    </row>
    <row r="228" spans="2:13">
      <c r="B228" s="410"/>
      <c r="C228" s="410"/>
      <c r="D228" s="411"/>
      <c r="E228" s="410"/>
      <c r="F228" s="410"/>
      <c r="G228" s="411"/>
      <c r="H228" s="410"/>
      <c r="I228" s="410"/>
      <c r="J228" s="411"/>
      <c r="K228" s="410"/>
      <c r="L228" s="410"/>
      <c r="M228" s="404"/>
    </row>
    <row r="229" spans="2:13">
      <c r="B229" s="410"/>
      <c r="C229" s="410"/>
      <c r="D229" s="411"/>
      <c r="E229" s="410"/>
      <c r="F229" s="410"/>
      <c r="G229" s="411"/>
      <c r="H229" s="410"/>
      <c r="I229" s="410"/>
      <c r="J229" s="411"/>
      <c r="K229" s="410"/>
      <c r="L229" s="410"/>
      <c r="M229" s="404"/>
    </row>
    <row r="230" spans="2:13">
      <c r="B230" s="410"/>
      <c r="C230" s="410"/>
      <c r="D230" s="411"/>
      <c r="E230" s="410"/>
      <c r="F230" s="410"/>
      <c r="G230" s="411"/>
      <c r="H230" s="410"/>
      <c r="I230" s="410"/>
      <c r="J230" s="411"/>
      <c r="K230" s="410"/>
      <c r="L230" s="410"/>
      <c r="M230" s="404"/>
    </row>
    <row r="231" spans="2:13">
      <c r="B231" s="410"/>
      <c r="C231" s="410"/>
      <c r="D231" s="411"/>
      <c r="E231" s="410"/>
      <c r="F231" s="410"/>
      <c r="G231" s="411"/>
      <c r="H231" s="410"/>
      <c r="I231" s="410"/>
      <c r="J231" s="411"/>
      <c r="K231" s="410"/>
      <c r="L231" s="410"/>
      <c r="M231" s="404"/>
    </row>
    <row r="232" spans="2:13">
      <c r="B232" s="410"/>
      <c r="C232" s="410"/>
      <c r="D232" s="411"/>
      <c r="E232" s="410"/>
      <c r="F232" s="410"/>
      <c r="G232" s="411"/>
      <c r="H232" s="410"/>
      <c r="I232" s="410"/>
      <c r="J232" s="411"/>
      <c r="K232" s="410"/>
      <c r="L232" s="410"/>
      <c r="M232" s="404"/>
    </row>
    <row r="233" spans="2:13">
      <c r="B233" s="410"/>
      <c r="C233" s="410"/>
      <c r="D233" s="411"/>
      <c r="E233" s="410"/>
      <c r="F233" s="410"/>
      <c r="G233" s="411"/>
      <c r="H233" s="410"/>
      <c r="I233" s="410"/>
      <c r="J233" s="411"/>
      <c r="K233" s="410"/>
      <c r="L233" s="410"/>
      <c r="M233" s="404"/>
    </row>
    <row r="234" spans="2:13">
      <c r="B234" s="410"/>
      <c r="C234" s="410"/>
      <c r="D234" s="411"/>
      <c r="E234" s="410"/>
      <c r="F234" s="410"/>
      <c r="G234" s="411"/>
      <c r="H234" s="410"/>
      <c r="I234" s="410"/>
      <c r="J234" s="411"/>
      <c r="K234" s="410"/>
      <c r="L234" s="410"/>
      <c r="M234" s="404"/>
    </row>
    <row r="235" spans="2:13">
      <c r="B235" s="410"/>
      <c r="C235" s="410"/>
      <c r="D235" s="411"/>
      <c r="E235" s="410"/>
      <c r="F235" s="410"/>
      <c r="G235" s="411"/>
      <c r="H235" s="410"/>
      <c r="I235" s="410"/>
      <c r="J235" s="411"/>
      <c r="K235" s="410"/>
      <c r="L235" s="410"/>
      <c r="M235" s="404"/>
    </row>
    <row r="236" spans="2:13">
      <c r="B236" s="410"/>
      <c r="C236" s="410"/>
      <c r="D236" s="411"/>
      <c r="E236" s="410"/>
      <c r="F236" s="410"/>
      <c r="G236" s="411"/>
      <c r="H236" s="410"/>
      <c r="I236" s="410"/>
      <c r="J236" s="411"/>
      <c r="K236" s="410"/>
      <c r="L236" s="410"/>
      <c r="M236" s="404"/>
    </row>
    <row r="237" spans="2:13">
      <c r="B237" s="410"/>
      <c r="C237" s="410"/>
      <c r="D237" s="411"/>
      <c r="E237" s="410"/>
      <c r="F237" s="410"/>
      <c r="G237" s="411"/>
      <c r="H237" s="410"/>
      <c r="I237" s="410"/>
      <c r="J237" s="411"/>
      <c r="K237" s="410"/>
      <c r="L237" s="410"/>
      <c r="M237" s="404"/>
    </row>
    <row r="238" spans="2:13">
      <c r="B238" s="410"/>
      <c r="C238" s="410"/>
      <c r="D238" s="411"/>
      <c r="E238" s="410"/>
      <c r="F238" s="410"/>
      <c r="G238" s="411"/>
      <c r="H238" s="410"/>
      <c r="I238" s="410"/>
      <c r="J238" s="411"/>
      <c r="K238" s="410"/>
      <c r="L238" s="410"/>
      <c r="M238" s="404"/>
    </row>
    <row r="239" spans="2:13">
      <c r="B239" s="410"/>
      <c r="C239" s="410"/>
      <c r="D239" s="411"/>
      <c r="E239" s="410"/>
      <c r="F239" s="410"/>
      <c r="G239" s="411"/>
      <c r="H239" s="410"/>
      <c r="I239" s="410"/>
      <c r="J239" s="411"/>
      <c r="K239" s="410"/>
      <c r="L239" s="410"/>
      <c r="M239" s="404"/>
    </row>
    <row r="240" spans="2:13">
      <c r="B240" s="410"/>
      <c r="C240" s="410"/>
      <c r="D240" s="411"/>
      <c r="E240" s="410"/>
      <c r="F240" s="410"/>
      <c r="G240" s="411"/>
      <c r="H240" s="410"/>
      <c r="I240" s="410"/>
      <c r="J240" s="411"/>
      <c r="K240" s="410"/>
      <c r="L240" s="410"/>
      <c r="M240" s="404"/>
    </row>
    <row r="241" spans="2:13">
      <c r="B241" s="410"/>
      <c r="C241" s="410"/>
      <c r="D241" s="411"/>
      <c r="E241" s="410"/>
      <c r="F241" s="410"/>
      <c r="G241" s="411"/>
      <c r="H241" s="410"/>
      <c r="I241" s="410"/>
      <c r="J241" s="411"/>
      <c r="K241" s="410"/>
      <c r="L241" s="410"/>
      <c r="M241" s="404"/>
    </row>
    <row r="242" spans="2:13">
      <c r="B242" s="410"/>
      <c r="C242" s="410"/>
      <c r="D242" s="411"/>
      <c r="E242" s="410"/>
      <c r="F242" s="410"/>
      <c r="G242" s="411"/>
      <c r="H242" s="410"/>
      <c r="I242" s="410"/>
      <c r="J242" s="411"/>
      <c r="K242" s="410"/>
      <c r="L242" s="410"/>
      <c r="M242" s="404"/>
    </row>
    <row r="243" spans="2:13">
      <c r="B243" s="410"/>
      <c r="C243" s="410"/>
      <c r="D243" s="411"/>
      <c r="E243" s="410"/>
      <c r="F243" s="410"/>
      <c r="G243" s="411"/>
      <c r="H243" s="410"/>
      <c r="I243" s="410"/>
      <c r="J243" s="411"/>
      <c r="K243" s="410"/>
      <c r="L243" s="410"/>
      <c r="M243" s="404"/>
    </row>
    <row r="244" spans="2:13">
      <c r="B244" s="410"/>
      <c r="C244" s="410"/>
      <c r="D244" s="411"/>
      <c r="E244" s="410"/>
      <c r="F244" s="410"/>
      <c r="G244" s="411"/>
      <c r="H244" s="410"/>
      <c r="I244" s="410"/>
      <c r="J244" s="411"/>
      <c r="K244" s="410"/>
      <c r="L244" s="410"/>
      <c r="M244" s="404"/>
    </row>
    <row r="245" spans="2:13">
      <c r="B245" s="410"/>
      <c r="C245" s="410"/>
      <c r="D245" s="411"/>
      <c r="E245" s="410"/>
      <c r="F245" s="410"/>
      <c r="G245" s="411"/>
      <c r="H245" s="410"/>
      <c r="I245" s="410"/>
      <c r="J245" s="411"/>
      <c r="K245" s="410"/>
      <c r="L245" s="410"/>
      <c r="M245" s="404"/>
    </row>
    <row r="246" spans="2:13">
      <c r="B246" s="410"/>
      <c r="C246" s="410"/>
      <c r="D246" s="411"/>
      <c r="E246" s="410"/>
      <c r="F246" s="410"/>
      <c r="G246" s="411"/>
      <c r="H246" s="410"/>
      <c r="I246" s="410"/>
      <c r="J246" s="411"/>
      <c r="K246" s="410"/>
      <c r="L246" s="410"/>
      <c r="M246" s="404"/>
    </row>
    <row r="247" spans="2:13">
      <c r="B247" s="410"/>
      <c r="C247" s="410"/>
      <c r="D247" s="411"/>
      <c r="E247" s="410"/>
      <c r="F247" s="410"/>
      <c r="G247" s="411"/>
      <c r="H247" s="410"/>
      <c r="I247" s="410"/>
      <c r="J247" s="411"/>
      <c r="K247" s="410"/>
      <c r="L247" s="410"/>
      <c r="M247" s="404"/>
    </row>
    <row r="248" spans="2:13">
      <c r="B248" s="410"/>
      <c r="C248" s="410"/>
      <c r="D248" s="411"/>
      <c r="E248" s="410"/>
      <c r="F248" s="410"/>
      <c r="G248" s="411"/>
      <c r="H248" s="410"/>
      <c r="I248" s="410"/>
      <c r="J248" s="411"/>
      <c r="K248" s="410"/>
      <c r="L248" s="410"/>
      <c r="M248" s="404"/>
    </row>
    <row r="249" spans="2:13">
      <c r="B249" s="410"/>
      <c r="C249" s="410"/>
      <c r="D249" s="411"/>
      <c r="E249" s="410"/>
      <c r="F249" s="410"/>
      <c r="G249" s="411"/>
      <c r="H249" s="410"/>
      <c r="I249" s="410"/>
      <c r="J249" s="411"/>
      <c r="K249" s="410"/>
      <c r="L249" s="410"/>
      <c r="M249" s="404"/>
    </row>
    <row r="250" spans="2:13">
      <c r="B250" s="410"/>
      <c r="C250" s="410"/>
      <c r="D250" s="411"/>
      <c r="E250" s="410"/>
      <c r="F250" s="410"/>
      <c r="G250" s="411"/>
      <c r="H250" s="410"/>
      <c r="I250" s="410"/>
      <c r="J250" s="411"/>
      <c r="K250" s="410"/>
      <c r="L250" s="410"/>
      <c r="M250" s="404"/>
    </row>
    <row r="251" spans="2:13">
      <c r="B251" s="410"/>
      <c r="C251" s="410"/>
      <c r="D251" s="411"/>
      <c r="E251" s="410"/>
      <c r="F251" s="410"/>
      <c r="G251" s="411"/>
      <c r="H251" s="410"/>
      <c r="I251" s="410"/>
      <c r="J251" s="411"/>
      <c r="K251" s="410"/>
      <c r="L251" s="410"/>
      <c r="M251" s="404"/>
    </row>
    <row r="252" spans="2:13">
      <c r="B252" s="410"/>
      <c r="C252" s="410"/>
      <c r="D252" s="411"/>
      <c r="E252" s="410"/>
      <c r="F252" s="410"/>
      <c r="G252" s="411"/>
      <c r="H252" s="410"/>
      <c r="I252" s="410"/>
      <c r="J252" s="411"/>
      <c r="K252" s="410"/>
      <c r="L252" s="410"/>
      <c r="M252" s="404"/>
    </row>
    <row r="253" spans="2:13">
      <c r="B253" s="410"/>
      <c r="C253" s="410"/>
      <c r="D253" s="411"/>
      <c r="E253" s="410"/>
      <c r="F253" s="410"/>
      <c r="G253" s="411"/>
      <c r="H253" s="410"/>
      <c r="I253" s="410"/>
      <c r="J253" s="411"/>
      <c r="K253" s="410"/>
      <c r="L253" s="410"/>
      <c r="M253" s="404"/>
    </row>
    <row r="254" spans="2:13">
      <c r="B254" s="410"/>
      <c r="C254" s="410"/>
      <c r="D254" s="411"/>
      <c r="E254" s="410"/>
      <c r="F254" s="410"/>
      <c r="G254" s="411"/>
      <c r="H254" s="410"/>
      <c r="I254" s="410"/>
      <c r="J254" s="411"/>
      <c r="K254" s="410"/>
      <c r="L254" s="410"/>
      <c r="M254" s="404"/>
    </row>
    <row r="255" spans="2:13">
      <c r="B255" s="410"/>
      <c r="C255" s="410"/>
      <c r="D255" s="411"/>
      <c r="E255" s="410"/>
      <c r="F255" s="410"/>
      <c r="G255" s="411"/>
      <c r="H255" s="410"/>
      <c r="I255" s="410"/>
      <c r="J255" s="411"/>
      <c r="K255" s="410"/>
      <c r="L255" s="410"/>
      <c r="M255" s="404"/>
    </row>
    <row r="256" spans="2:13">
      <c r="B256" s="410"/>
      <c r="C256" s="410"/>
      <c r="D256" s="411"/>
      <c r="E256" s="410"/>
      <c r="F256" s="410"/>
      <c r="G256" s="411"/>
      <c r="H256" s="410"/>
      <c r="I256" s="410"/>
      <c r="J256" s="411"/>
      <c r="K256" s="410"/>
      <c r="L256" s="410"/>
      <c r="M256" s="404"/>
    </row>
    <row r="257" spans="2:13">
      <c r="B257" s="410"/>
      <c r="C257" s="410"/>
      <c r="D257" s="411"/>
      <c r="E257" s="410"/>
      <c r="F257" s="410"/>
      <c r="G257" s="411"/>
      <c r="H257" s="410"/>
      <c r="I257" s="410"/>
      <c r="J257" s="411"/>
      <c r="K257" s="410"/>
      <c r="L257" s="410"/>
      <c r="M257" s="404"/>
    </row>
    <row r="258" spans="2:13">
      <c r="B258" s="410"/>
      <c r="C258" s="410"/>
      <c r="D258" s="411"/>
      <c r="E258" s="410"/>
      <c r="F258" s="410"/>
      <c r="G258" s="411"/>
      <c r="H258" s="410"/>
      <c r="I258" s="410"/>
      <c r="J258" s="411"/>
      <c r="K258" s="410"/>
      <c r="L258" s="410"/>
      <c r="M258" s="404"/>
    </row>
    <row r="259" spans="2:13">
      <c r="B259" s="410"/>
      <c r="C259" s="410"/>
      <c r="D259" s="411"/>
      <c r="E259" s="410"/>
      <c r="F259" s="410"/>
      <c r="G259" s="411"/>
      <c r="H259" s="410"/>
      <c r="I259" s="410"/>
      <c r="J259" s="411"/>
      <c r="K259" s="410"/>
      <c r="L259" s="410"/>
      <c r="M259" s="404"/>
    </row>
    <row r="260" spans="2:13">
      <c r="B260" s="410"/>
      <c r="C260" s="410"/>
      <c r="D260" s="411"/>
      <c r="E260" s="410"/>
      <c r="F260" s="410"/>
      <c r="G260" s="411"/>
      <c r="H260" s="410"/>
      <c r="I260" s="410"/>
      <c r="J260" s="411"/>
      <c r="K260" s="410"/>
      <c r="L260" s="410"/>
      <c r="M260" s="404"/>
    </row>
    <row r="261" spans="2:13">
      <c r="B261" s="410"/>
      <c r="C261" s="410"/>
      <c r="D261" s="411"/>
      <c r="E261" s="410"/>
      <c r="F261" s="410"/>
      <c r="G261" s="411"/>
      <c r="H261" s="410"/>
      <c r="I261" s="410"/>
      <c r="J261" s="411"/>
      <c r="K261" s="410"/>
      <c r="L261" s="410"/>
      <c r="M261" s="404"/>
    </row>
    <row r="262" spans="2:13">
      <c r="B262" s="410"/>
      <c r="C262" s="410"/>
      <c r="D262" s="411"/>
      <c r="E262" s="410"/>
      <c r="F262" s="410"/>
      <c r="G262" s="411"/>
      <c r="H262" s="410"/>
      <c r="I262" s="410"/>
      <c r="J262" s="411"/>
      <c r="K262" s="410"/>
      <c r="L262" s="410"/>
      <c r="M262" s="404"/>
    </row>
    <row r="263" spans="2:13">
      <c r="B263" s="410"/>
      <c r="C263" s="410"/>
      <c r="D263" s="411"/>
      <c r="E263" s="410"/>
      <c r="F263" s="410"/>
      <c r="G263" s="411"/>
      <c r="H263" s="410"/>
      <c r="I263" s="410"/>
      <c r="J263" s="411"/>
      <c r="K263" s="410"/>
      <c r="L263" s="410"/>
      <c r="M263" s="404"/>
    </row>
    <row r="264" spans="2:13">
      <c r="B264" s="410"/>
      <c r="C264" s="410"/>
      <c r="D264" s="411"/>
      <c r="E264" s="410"/>
      <c r="F264" s="410"/>
      <c r="G264" s="411"/>
      <c r="H264" s="410"/>
      <c r="I264" s="410"/>
      <c r="J264" s="411"/>
      <c r="K264" s="410"/>
      <c r="L264" s="410"/>
      <c r="M264" s="404"/>
    </row>
    <row r="265" spans="2:13">
      <c r="B265" s="410"/>
      <c r="C265" s="410"/>
      <c r="D265" s="411"/>
      <c r="E265" s="410"/>
      <c r="F265" s="410"/>
      <c r="G265" s="411"/>
      <c r="H265" s="410"/>
      <c r="I265" s="410"/>
      <c r="J265" s="411"/>
      <c r="K265" s="410"/>
      <c r="L265" s="410"/>
      <c r="M265" s="404"/>
    </row>
    <row r="266" spans="2:13">
      <c r="B266" s="410"/>
      <c r="C266" s="410"/>
      <c r="D266" s="411"/>
      <c r="E266" s="410"/>
      <c r="F266" s="410"/>
      <c r="G266" s="411"/>
      <c r="H266" s="410"/>
      <c r="I266" s="410"/>
      <c r="J266" s="411"/>
      <c r="K266" s="410"/>
      <c r="L266" s="410"/>
      <c r="M266" s="404"/>
    </row>
    <row r="267" spans="2:13">
      <c r="B267" s="410"/>
      <c r="C267" s="410"/>
      <c r="D267" s="411"/>
      <c r="E267" s="410"/>
      <c r="F267" s="410"/>
      <c r="G267" s="411"/>
      <c r="H267" s="410"/>
      <c r="I267" s="410"/>
      <c r="J267" s="411"/>
      <c r="K267" s="410"/>
      <c r="L267" s="410"/>
      <c r="M267" s="404"/>
    </row>
    <row r="268" spans="2:13">
      <c r="B268" s="410"/>
      <c r="C268" s="410"/>
      <c r="D268" s="411"/>
      <c r="E268" s="410"/>
      <c r="F268" s="410"/>
      <c r="G268" s="411"/>
      <c r="H268" s="410"/>
      <c r="I268" s="410"/>
      <c r="J268" s="411"/>
      <c r="K268" s="410"/>
      <c r="L268" s="410"/>
      <c r="M268" s="404"/>
    </row>
    <row r="269" spans="2:13">
      <c r="B269" s="410"/>
      <c r="C269" s="410"/>
      <c r="D269" s="411"/>
      <c r="E269" s="410"/>
      <c r="F269" s="410"/>
      <c r="G269" s="411"/>
      <c r="H269" s="410"/>
      <c r="I269" s="410"/>
      <c r="J269" s="411"/>
      <c r="K269" s="410"/>
      <c r="L269" s="410"/>
      <c r="M269" s="404"/>
    </row>
    <row r="270" spans="2:13">
      <c r="B270" s="410"/>
      <c r="C270" s="410"/>
      <c r="D270" s="411"/>
      <c r="E270" s="410"/>
      <c r="F270" s="410"/>
      <c r="G270" s="411"/>
      <c r="H270" s="410"/>
      <c r="I270" s="410"/>
      <c r="J270" s="411"/>
      <c r="K270" s="410"/>
      <c r="L270" s="410"/>
      <c r="M270" s="404"/>
    </row>
    <row r="271" spans="2:13">
      <c r="B271" s="410"/>
      <c r="C271" s="410"/>
      <c r="D271" s="411"/>
      <c r="E271" s="410"/>
      <c r="F271" s="410"/>
      <c r="G271" s="411"/>
      <c r="H271" s="410"/>
      <c r="I271" s="410"/>
      <c r="J271" s="411"/>
      <c r="K271" s="410"/>
      <c r="L271" s="410"/>
      <c r="M271" s="404"/>
    </row>
    <row r="272" spans="2:13">
      <c r="B272" s="410"/>
      <c r="C272" s="410"/>
      <c r="D272" s="411"/>
      <c r="E272" s="410"/>
      <c r="F272" s="410"/>
      <c r="G272" s="411"/>
      <c r="H272" s="410"/>
      <c r="I272" s="410"/>
      <c r="J272" s="411"/>
      <c r="K272" s="410"/>
      <c r="L272" s="410"/>
      <c r="M272" s="404"/>
    </row>
    <row r="273" spans="2:13">
      <c r="B273" s="410"/>
      <c r="C273" s="410"/>
      <c r="D273" s="411"/>
      <c r="E273" s="410"/>
      <c r="F273" s="410"/>
      <c r="G273" s="411"/>
      <c r="H273" s="410"/>
      <c r="I273" s="410"/>
      <c r="J273" s="411"/>
      <c r="K273" s="410"/>
      <c r="L273" s="410"/>
      <c r="M273" s="404"/>
    </row>
    <row r="274" spans="2:13">
      <c r="B274" s="410"/>
      <c r="C274" s="410"/>
      <c r="D274" s="411"/>
      <c r="E274" s="410"/>
      <c r="F274" s="410"/>
      <c r="G274" s="411"/>
      <c r="H274" s="410"/>
      <c r="I274" s="410"/>
      <c r="J274" s="411"/>
      <c r="K274" s="410"/>
      <c r="L274" s="410"/>
      <c r="M274" s="404"/>
    </row>
    <row r="275" spans="2:13">
      <c r="B275" s="410"/>
      <c r="C275" s="410"/>
      <c r="D275" s="411"/>
      <c r="E275" s="410"/>
      <c r="F275" s="410"/>
      <c r="G275" s="411"/>
      <c r="H275" s="410"/>
      <c r="I275" s="410"/>
      <c r="J275" s="411"/>
      <c r="K275" s="410"/>
      <c r="L275" s="410"/>
      <c r="M275" s="404"/>
    </row>
    <row r="276" spans="2:13">
      <c r="B276" s="410"/>
      <c r="C276" s="410"/>
      <c r="D276" s="411"/>
      <c r="E276" s="410"/>
      <c r="F276" s="410"/>
      <c r="G276" s="411"/>
      <c r="H276" s="410"/>
      <c r="I276" s="410"/>
      <c r="J276" s="411"/>
      <c r="K276" s="410"/>
      <c r="L276" s="410"/>
      <c r="M276" s="404"/>
    </row>
    <row r="277" spans="2:13">
      <c r="B277" s="410"/>
      <c r="C277" s="410"/>
      <c r="D277" s="411"/>
      <c r="E277" s="410"/>
      <c r="F277" s="410"/>
      <c r="G277" s="411"/>
      <c r="H277" s="410"/>
      <c r="I277" s="410"/>
      <c r="J277" s="411"/>
      <c r="K277" s="410"/>
      <c r="L277" s="410"/>
      <c r="M277" s="404"/>
    </row>
    <row r="278" spans="2:13">
      <c r="B278" s="410"/>
      <c r="C278" s="410"/>
      <c r="D278" s="411"/>
      <c r="E278" s="410"/>
      <c r="F278" s="410"/>
      <c r="G278" s="411"/>
      <c r="H278" s="410"/>
      <c r="I278" s="410"/>
      <c r="J278" s="411"/>
      <c r="K278" s="410"/>
      <c r="L278" s="410"/>
      <c r="M278" s="404"/>
    </row>
    <row r="279" spans="2:13">
      <c r="B279" s="410"/>
      <c r="C279" s="410"/>
      <c r="D279" s="411"/>
      <c r="E279" s="410"/>
      <c r="F279" s="410"/>
      <c r="G279" s="411"/>
      <c r="H279" s="410"/>
      <c r="I279" s="410"/>
      <c r="J279" s="411"/>
      <c r="K279" s="410"/>
      <c r="L279" s="410"/>
      <c r="M279" s="404"/>
    </row>
    <row r="280" spans="2:13">
      <c r="B280" s="410"/>
      <c r="C280" s="410"/>
      <c r="D280" s="411"/>
      <c r="E280" s="410"/>
      <c r="F280" s="410"/>
      <c r="G280" s="411"/>
      <c r="H280" s="410"/>
      <c r="I280" s="410"/>
      <c r="J280" s="411"/>
      <c r="K280" s="410"/>
      <c r="L280" s="410"/>
      <c r="M280" s="404"/>
    </row>
    <row r="281" spans="2:13">
      <c r="B281" s="410"/>
      <c r="C281" s="410"/>
      <c r="D281" s="411"/>
      <c r="E281" s="410"/>
      <c r="F281" s="410"/>
      <c r="G281" s="411"/>
      <c r="H281" s="410"/>
      <c r="I281" s="410"/>
      <c r="J281" s="411"/>
      <c r="K281" s="410"/>
      <c r="L281" s="410"/>
      <c r="M281" s="404"/>
    </row>
    <row r="282" spans="2:13">
      <c r="B282" s="410"/>
      <c r="C282" s="410"/>
      <c r="D282" s="411"/>
      <c r="E282" s="410"/>
      <c r="F282" s="410"/>
      <c r="G282" s="411"/>
      <c r="H282" s="410"/>
      <c r="I282" s="410"/>
      <c r="J282" s="411"/>
      <c r="K282" s="410"/>
      <c r="L282" s="410"/>
      <c r="M282" s="404"/>
    </row>
    <row r="283" spans="2:13">
      <c r="B283" s="410"/>
      <c r="C283" s="410"/>
      <c r="D283" s="411"/>
      <c r="E283" s="410"/>
      <c r="F283" s="410"/>
      <c r="G283" s="411"/>
      <c r="H283" s="410"/>
      <c r="I283" s="410"/>
      <c r="J283" s="411"/>
      <c r="K283" s="410"/>
      <c r="L283" s="410"/>
      <c r="M283" s="404"/>
    </row>
    <row r="284" spans="2:13">
      <c r="B284" s="410"/>
      <c r="C284" s="410"/>
      <c r="D284" s="411"/>
      <c r="E284" s="410"/>
      <c r="F284" s="410"/>
      <c r="G284" s="411"/>
      <c r="H284" s="410"/>
      <c r="I284" s="410"/>
      <c r="J284" s="411"/>
      <c r="K284" s="410"/>
      <c r="L284" s="410"/>
      <c r="M284" s="404"/>
    </row>
    <row r="285" spans="2:13">
      <c r="B285" s="410"/>
      <c r="C285" s="410"/>
      <c r="D285" s="411"/>
      <c r="E285" s="410"/>
      <c r="F285" s="410"/>
      <c r="G285" s="411"/>
      <c r="H285" s="410"/>
      <c r="I285" s="410"/>
      <c r="J285" s="411"/>
      <c r="K285" s="410"/>
      <c r="L285" s="410"/>
      <c r="M285" s="404"/>
    </row>
    <row r="286" spans="2:13">
      <c r="B286" s="410"/>
      <c r="C286" s="410"/>
      <c r="D286" s="411"/>
      <c r="E286" s="410"/>
      <c r="F286" s="410"/>
      <c r="G286" s="411"/>
      <c r="H286" s="410"/>
      <c r="I286" s="410"/>
      <c r="J286" s="411"/>
      <c r="K286" s="410"/>
      <c r="L286" s="410"/>
      <c r="M286" s="404"/>
    </row>
    <row r="287" spans="2:13">
      <c r="B287" s="410"/>
      <c r="C287" s="410"/>
      <c r="D287" s="411"/>
      <c r="E287" s="410"/>
      <c r="F287" s="410"/>
      <c r="G287" s="411"/>
      <c r="H287" s="410"/>
      <c r="I287" s="410"/>
      <c r="J287" s="411"/>
      <c r="K287" s="410"/>
      <c r="L287" s="410"/>
      <c r="M287" s="404"/>
    </row>
    <row r="288" spans="2:13">
      <c r="B288" s="410"/>
      <c r="C288" s="410"/>
      <c r="D288" s="411"/>
      <c r="E288" s="410"/>
      <c r="F288" s="410"/>
      <c r="G288" s="411"/>
      <c r="H288" s="410"/>
      <c r="I288" s="410"/>
      <c r="J288" s="411"/>
      <c r="K288" s="410"/>
      <c r="L288" s="410"/>
      <c r="M288" s="404"/>
    </row>
    <row r="289" spans="2:13">
      <c r="B289" s="410"/>
      <c r="C289" s="410"/>
      <c r="D289" s="411"/>
      <c r="E289" s="410"/>
      <c r="F289" s="410"/>
      <c r="G289" s="411"/>
      <c r="H289" s="410"/>
      <c r="I289" s="410"/>
      <c r="J289" s="411"/>
      <c r="K289" s="410"/>
      <c r="L289" s="410"/>
      <c r="M289" s="404"/>
    </row>
    <row r="290" spans="2:13">
      <c r="B290" s="410"/>
      <c r="C290" s="410"/>
      <c r="D290" s="411"/>
      <c r="E290" s="410"/>
      <c r="F290" s="410"/>
      <c r="G290" s="411"/>
      <c r="H290" s="410"/>
      <c r="I290" s="410"/>
      <c r="J290" s="411"/>
      <c r="K290" s="410"/>
      <c r="L290" s="410"/>
      <c r="M290" s="404"/>
    </row>
    <row r="291" spans="2:13">
      <c r="B291" s="410"/>
      <c r="C291" s="410"/>
      <c r="D291" s="411"/>
      <c r="E291" s="410"/>
      <c r="F291" s="410"/>
      <c r="G291" s="411"/>
      <c r="H291" s="410"/>
      <c r="I291" s="410"/>
      <c r="J291" s="411"/>
      <c r="K291" s="410"/>
      <c r="L291" s="410"/>
      <c r="M291" s="404"/>
    </row>
    <row r="292" spans="2:13">
      <c r="B292" s="410"/>
      <c r="C292" s="410"/>
      <c r="D292" s="411"/>
      <c r="E292" s="410"/>
      <c r="F292" s="410"/>
      <c r="G292" s="411"/>
      <c r="H292" s="410"/>
      <c r="I292" s="410"/>
      <c r="J292" s="411"/>
      <c r="K292" s="410"/>
      <c r="L292" s="410"/>
      <c r="M292" s="404"/>
    </row>
    <row r="293" spans="2:13">
      <c r="B293" s="410"/>
      <c r="C293" s="410"/>
      <c r="D293" s="411"/>
      <c r="E293" s="410"/>
      <c r="F293" s="410"/>
      <c r="G293" s="411"/>
      <c r="H293" s="410"/>
      <c r="I293" s="410"/>
      <c r="J293" s="411"/>
      <c r="K293" s="410"/>
      <c r="L293" s="410"/>
      <c r="M293" s="404"/>
    </row>
    <row r="294" spans="2:13">
      <c r="B294" s="410"/>
      <c r="C294" s="410"/>
      <c r="D294" s="411"/>
      <c r="E294" s="410"/>
      <c r="F294" s="410"/>
      <c r="G294" s="411"/>
      <c r="H294" s="410"/>
      <c r="I294" s="410"/>
      <c r="J294" s="411"/>
      <c r="K294" s="410"/>
      <c r="L294" s="410"/>
      <c r="M294" s="404"/>
    </row>
    <row r="295" spans="2:13">
      <c r="B295" s="410"/>
      <c r="C295" s="410"/>
      <c r="D295" s="411"/>
      <c r="E295" s="410"/>
      <c r="F295" s="410"/>
      <c r="G295" s="411"/>
      <c r="H295" s="410"/>
      <c r="I295" s="410"/>
      <c r="J295" s="411"/>
      <c r="K295" s="410"/>
      <c r="L295" s="410"/>
      <c r="M295" s="404"/>
    </row>
    <row r="296" spans="2:13">
      <c r="B296" s="410"/>
      <c r="C296" s="410"/>
      <c r="D296" s="411"/>
      <c r="E296" s="410"/>
      <c r="F296" s="410"/>
      <c r="G296" s="411"/>
      <c r="H296" s="410"/>
      <c r="I296" s="410"/>
      <c r="J296" s="411"/>
      <c r="K296" s="410"/>
      <c r="L296" s="410"/>
      <c r="M296" s="404"/>
    </row>
    <row r="297" spans="2:13">
      <c r="B297" s="410"/>
      <c r="C297" s="410"/>
      <c r="D297" s="411"/>
      <c r="E297" s="410"/>
      <c r="F297" s="410"/>
      <c r="G297" s="411"/>
      <c r="H297" s="410"/>
      <c r="I297" s="410"/>
      <c r="J297" s="411"/>
      <c r="K297" s="410"/>
      <c r="L297" s="410"/>
      <c r="M297" s="404"/>
    </row>
    <row r="298" spans="2:13">
      <c r="B298" s="410"/>
      <c r="C298" s="410"/>
      <c r="D298" s="411"/>
      <c r="E298" s="410"/>
      <c r="F298" s="410"/>
      <c r="G298" s="411"/>
      <c r="H298" s="410"/>
      <c r="I298" s="410"/>
      <c r="J298" s="411"/>
      <c r="K298" s="410"/>
      <c r="L298" s="410"/>
      <c r="M298" s="404"/>
    </row>
    <row r="299" spans="2:13">
      <c r="B299" s="410"/>
      <c r="C299" s="410"/>
      <c r="D299" s="411"/>
      <c r="E299" s="410"/>
      <c r="F299" s="410"/>
      <c r="G299" s="411"/>
      <c r="H299" s="410"/>
      <c r="I299" s="410"/>
      <c r="J299" s="411"/>
      <c r="K299" s="410"/>
      <c r="L299" s="410"/>
      <c r="M299" s="404"/>
    </row>
    <row r="300" spans="2:13">
      <c r="B300" s="410"/>
      <c r="C300" s="410"/>
      <c r="D300" s="411"/>
      <c r="E300" s="410"/>
      <c r="F300" s="410"/>
      <c r="G300" s="411"/>
      <c r="H300" s="410"/>
      <c r="I300" s="410"/>
      <c r="J300" s="411"/>
      <c r="K300" s="410"/>
      <c r="L300" s="410"/>
      <c r="M300" s="404"/>
    </row>
    <row r="301" spans="2:13">
      <c r="B301" s="410"/>
      <c r="C301" s="410"/>
      <c r="D301" s="411"/>
      <c r="E301" s="410"/>
      <c r="F301" s="410"/>
      <c r="G301" s="411"/>
      <c r="H301" s="410"/>
      <c r="I301" s="410"/>
      <c r="J301" s="411"/>
      <c r="K301" s="410"/>
      <c r="L301" s="410"/>
      <c r="M301" s="404"/>
    </row>
    <row r="302" spans="2:13">
      <c r="B302" s="410"/>
      <c r="C302" s="410"/>
      <c r="D302" s="411"/>
      <c r="E302" s="410"/>
      <c r="F302" s="410"/>
      <c r="G302" s="411"/>
      <c r="H302" s="410"/>
      <c r="I302" s="410"/>
      <c r="J302" s="411"/>
      <c r="K302" s="410"/>
      <c r="L302" s="410"/>
      <c r="M302" s="404"/>
    </row>
    <row r="303" spans="2:13">
      <c r="B303" s="410"/>
      <c r="C303" s="410"/>
      <c r="D303" s="411"/>
      <c r="E303" s="410"/>
      <c r="F303" s="410"/>
      <c r="G303" s="411"/>
      <c r="H303" s="410"/>
      <c r="I303" s="410"/>
      <c r="J303" s="411"/>
      <c r="K303" s="410"/>
      <c r="L303" s="410"/>
      <c r="M303" s="404"/>
    </row>
    <row r="304" spans="2:13">
      <c r="B304" s="410"/>
      <c r="C304" s="410"/>
      <c r="D304" s="411"/>
      <c r="E304" s="410"/>
      <c r="F304" s="410"/>
      <c r="G304" s="411"/>
      <c r="H304" s="410"/>
      <c r="I304" s="410"/>
      <c r="J304" s="411"/>
      <c r="K304" s="410"/>
      <c r="L304" s="410"/>
      <c r="M304" s="404"/>
    </row>
    <row r="305" spans="2:13">
      <c r="B305" s="410"/>
      <c r="C305" s="410"/>
      <c r="D305" s="411"/>
      <c r="E305" s="410"/>
      <c r="F305" s="410"/>
      <c r="G305" s="411"/>
      <c r="H305" s="410"/>
      <c r="I305" s="410"/>
      <c r="J305" s="411"/>
      <c r="K305" s="410"/>
      <c r="L305" s="410"/>
      <c r="M305" s="404"/>
    </row>
    <row r="306" spans="2:13">
      <c r="B306" s="410"/>
      <c r="C306" s="410"/>
      <c r="D306" s="411"/>
      <c r="E306" s="410"/>
      <c r="F306" s="410"/>
      <c r="G306" s="411"/>
      <c r="H306" s="410"/>
      <c r="I306" s="410"/>
      <c r="J306" s="411"/>
      <c r="K306" s="410"/>
      <c r="L306" s="410"/>
      <c r="M306" s="404"/>
    </row>
    <row r="307" spans="2:13">
      <c r="B307" s="410"/>
      <c r="C307" s="410"/>
      <c r="D307" s="411"/>
      <c r="E307" s="410"/>
      <c r="F307" s="410"/>
      <c r="G307" s="411"/>
      <c r="H307" s="410"/>
      <c r="I307" s="410"/>
      <c r="J307" s="411"/>
      <c r="K307" s="410"/>
      <c r="L307" s="410"/>
      <c r="M307" s="404"/>
    </row>
    <row r="308" spans="2:13">
      <c r="B308" s="410"/>
      <c r="C308" s="410"/>
      <c r="D308" s="411"/>
      <c r="E308" s="410"/>
      <c r="F308" s="410"/>
      <c r="G308" s="411"/>
      <c r="H308" s="410"/>
      <c r="I308" s="410"/>
      <c r="J308" s="411"/>
      <c r="K308" s="410"/>
      <c r="L308" s="410"/>
      <c r="M308" s="404"/>
    </row>
    <row r="309" spans="2:13">
      <c r="B309" s="410"/>
      <c r="C309" s="410"/>
      <c r="D309" s="411"/>
      <c r="E309" s="410"/>
      <c r="F309" s="410"/>
      <c r="G309" s="411"/>
      <c r="H309" s="410"/>
      <c r="I309" s="410"/>
      <c r="J309" s="411"/>
      <c r="K309" s="410"/>
      <c r="L309" s="410"/>
      <c r="M309" s="404"/>
    </row>
    <row r="310" spans="2:13">
      <c r="B310" s="410"/>
      <c r="C310" s="410"/>
      <c r="D310" s="411"/>
      <c r="E310" s="410"/>
      <c r="F310" s="410"/>
      <c r="G310" s="411"/>
      <c r="H310" s="410"/>
      <c r="I310" s="410"/>
      <c r="J310" s="411"/>
      <c r="K310" s="410"/>
      <c r="L310" s="410"/>
      <c r="M310" s="404"/>
    </row>
    <row r="311" spans="2:13">
      <c r="B311" s="410"/>
      <c r="C311" s="410"/>
      <c r="D311" s="411"/>
      <c r="E311" s="410"/>
      <c r="F311" s="410"/>
      <c r="G311" s="411"/>
      <c r="H311" s="410"/>
      <c r="I311" s="410"/>
      <c r="J311" s="411"/>
      <c r="K311" s="410"/>
      <c r="L311" s="410"/>
      <c r="M311" s="404"/>
    </row>
    <row r="312" spans="2:13">
      <c r="B312" s="410"/>
      <c r="C312" s="410"/>
      <c r="D312" s="411"/>
      <c r="E312" s="410"/>
      <c r="F312" s="410"/>
      <c r="G312" s="411"/>
      <c r="H312" s="410"/>
      <c r="I312" s="410"/>
      <c r="J312" s="411"/>
      <c r="K312" s="410"/>
      <c r="L312" s="410"/>
      <c r="M312" s="404"/>
    </row>
    <row r="313" spans="2:13">
      <c r="B313" s="410"/>
      <c r="C313" s="410"/>
      <c r="D313" s="411"/>
      <c r="E313" s="410"/>
      <c r="F313" s="410"/>
      <c r="G313" s="411"/>
      <c r="H313" s="410"/>
      <c r="I313" s="410"/>
      <c r="J313" s="411"/>
      <c r="K313" s="410"/>
      <c r="L313" s="410"/>
      <c r="M313" s="404"/>
    </row>
    <row r="314" spans="2:13">
      <c r="B314" s="410"/>
      <c r="C314" s="410"/>
      <c r="D314" s="411"/>
      <c r="E314" s="410"/>
      <c r="F314" s="410"/>
      <c r="G314" s="411"/>
      <c r="H314" s="410"/>
      <c r="I314" s="410"/>
      <c r="J314" s="411"/>
      <c r="K314" s="410"/>
      <c r="L314" s="410"/>
      <c r="M314" s="404"/>
    </row>
    <row r="315" spans="2:13">
      <c r="B315" s="410"/>
      <c r="C315" s="410"/>
      <c r="D315" s="411"/>
      <c r="E315" s="410"/>
      <c r="F315" s="410"/>
      <c r="G315" s="411"/>
      <c r="H315" s="410"/>
      <c r="I315" s="410"/>
      <c r="J315" s="411"/>
      <c r="K315" s="410"/>
      <c r="L315" s="410"/>
      <c r="M315" s="404"/>
    </row>
    <row r="316" spans="2:13">
      <c r="B316" s="410"/>
      <c r="C316" s="410"/>
      <c r="D316" s="411"/>
      <c r="E316" s="410"/>
      <c r="F316" s="410"/>
      <c r="G316" s="411"/>
      <c r="H316" s="410"/>
      <c r="I316" s="410"/>
      <c r="J316" s="411"/>
      <c r="K316" s="410"/>
      <c r="L316" s="410"/>
      <c r="M316" s="404"/>
    </row>
    <row r="317" spans="2:13">
      <c r="B317" s="410"/>
      <c r="C317" s="410"/>
      <c r="D317" s="411"/>
      <c r="E317" s="410"/>
      <c r="F317" s="410"/>
      <c r="G317" s="411"/>
      <c r="H317" s="410"/>
      <c r="I317" s="410"/>
      <c r="J317" s="411"/>
      <c r="K317" s="410"/>
      <c r="L317" s="410"/>
      <c r="M317" s="404"/>
    </row>
    <row r="318" spans="2:13">
      <c r="B318" s="410"/>
      <c r="C318" s="410"/>
      <c r="D318" s="411"/>
      <c r="E318" s="410"/>
      <c r="F318" s="410"/>
      <c r="G318" s="411"/>
      <c r="H318" s="410"/>
      <c r="I318" s="410"/>
      <c r="J318" s="411"/>
      <c r="K318" s="410"/>
      <c r="L318" s="410"/>
      <c r="M318" s="404"/>
    </row>
    <row r="319" spans="2:13">
      <c r="B319" s="410"/>
      <c r="C319" s="410"/>
      <c r="D319" s="411"/>
      <c r="E319" s="410"/>
      <c r="F319" s="410"/>
      <c r="G319" s="411"/>
      <c r="H319" s="410"/>
      <c r="I319" s="410"/>
      <c r="J319" s="411"/>
      <c r="K319" s="410"/>
      <c r="L319" s="410"/>
      <c r="M319" s="404"/>
    </row>
    <row r="320" spans="2:13">
      <c r="B320" s="410"/>
      <c r="C320" s="410"/>
      <c r="D320" s="411"/>
      <c r="E320" s="410"/>
      <c r="F320" s="410"/>
      <c r="G320" s="411"/>
      <c r="H320" s="410"/>
      <c r="I320" s="410"/>
      <c r="J320" s="411"/>
      <c r="K320" s="410"/>
      <c r="L320" s="410"/>
      <c r="M320" s="404"/>
    </row>
    <row r="321" spans="2:13">
      <c r="B321" s="410"/>
      <c r="C321" s="410"/>
      <c r="D321" s="411"/>
      <c r="E321" s="410"/>
      <c r="F321" s="410"/>
      <c r="G321" s="411"/>
      <c r="H321" s="410"/>
      <c r="I321" s="410"/>
      <c r="J321" s="411"/>
      <c r="K321" s="410"/>
      <c r="L321" s="410"/>
      <c r="M321" s="404"/>
    </row>
    <row r="322" spans="2:13">
      <c r="B322" s="410"/>
      <c r="C322" s="410"/>
      <c r="D322" s="411"/>
      <c r="E322" s="410"/>
      <c r="F322" s="410"/>
      <c r="G322" s="411"/>
      <c r="H322" s="410"/>
      <c r="I322" s="410"/>
      <c r="J322" s="411"/>
      <c r="K322" s="410"/>
      <c r="L322" s="410"/>
      <c r="M322" s="404"/>
    </row>
    <row r="323" spans="2:13">
      <c r="B323" s="410"/>
      <c r="C323" s="410"/>
      <c r="D323" s="411"/>
      <c r="E323" s="410"/>
      <c r="F323" s="410"/>
      <c r="G323" s="411"/>
      <c r="H323" s="410"/>
      <c r="I323" s="410"/>
      <c r="J323" s="411"/>
      <c r="K323" s="410"/>
      <c r="L323" s="410"/>
      <c r="M323" s="404"/>
    </row>
    <row r="324" spans="2:13">
      <c r="B324" s="410"/>
      <c r="C324" s="410"/>
      <c r="D324" s="411"/>
      <c r="E324" s="410"/>
      <c r="F324" s="410"/>
      <c r="G324" s="411"/>
      <c r="H324" s="410"/>
      <c r="I324" s="410"/>
      <c r="J324" s="411"/>
      <c r="K324" s="410"/>
      <c r="L324" s="410"/>
      <c r="M324" s="404"/>
    </row>
    <row r="325" spans="2:13">
      <c r="B325" s="410"/>
      <c r="C325" s="410"/>
      <c r="D325" s="411"/>
      <c r="E325" s="410"/>
      <c r="F325" s="410"/>
      <c r="G325" s="411"/>
      <c r="H325" s="410"/>
      <c r="I325" s="410"/>
      <c r="J325" s="411"/>
      <c r="K325" s="410"/>
      <c r="L325" s="410"/>
      <c r="M325" s="404"/>
    </row>
    <row r="326" spans="2:13">
      <c r="B326" s="410"/>
      <c r="C326" s="410"/>
      <c r="D326" s="411"/>
      <c r="E326" s="410"/>
      <c r="F326" s="410"/>
      <c r="G326" s="411"/>
      <c r="H326" s="410"/>
      <c r="I326" s="410"/>
      <c r="J326" s="411"/>
      <c r="K326" s="410"/>
      <c r="L326" s="410"/>
      <c r="M326" s="404"/>
    </row>
    <row r="327" spans="2:13">
      <c r="B327" s="410"/>
      <c r="C327" s="410"/>
      <c r="D327" s="411"/>
      <c r="E327" s="410"/>
      <c r="F327" s="410"/>
      <c r="G327" s="411"/>
      <c r="H327" s="410"/>
      <c r="I327" s="410"/>
      <c r="J327" s="411"/>
      <c r="K327" s="410"/>
      <c r="L327" s="410"/>
      <c r="M327" s="404"/>
    </row>
    <row r="328" spans="2:13">
      <c r="B328" s="410"/>
      <c r="C328" s="410"/>
      <c r="D328" s="411"/>
      <c r="E328" s="410"/>
      <c r="F328" s="410"/>
      <c r="G328" s="411"/>
      <c r="H328" s="410"/>
      <c r="I328" s="410"/>
      <c r="J328" s="411"/>
      <c r="K328" s="410"/>
      <c r="L328" s="410"/>
      <c r="M328" s="404"/>
    </row>
    <row r="329" spans="2:13">
      <c r="B329" s="410"/>
      <c r="C329" s="410"/>
      <c r="D329" s="411"/>
      <c r="E329" s="410"/>
      <c r="F329" s="410"/>
      <c r="G329" s="411"/>
      <c r="H329" s="410"/>
      <c r="I329" s="410"/>
      <c r="J329" s="411"/>
      <c r="K329" s="410"/>
      <c r="L329" s="410"/>
      <c r="M329" s="404"/>
    </row>
    <row r="330" spans="2:13">
      <c r="B330" s="410"/>
      <c r="C330" s="410"/>
      <c r="D330" s="411"/>
      <c r="E330" s="410"/>
      <c r="F330" s="410"/>
      <c r="G330" s="411"/>
      <c r="H330" s="410"/>
      <c r="I330" s="410"/>
      <c r="J330" s="411"/>
      <c r="K330" s="410"/>
      <c r="L330" s="410"/>
      <c r="M330" s="404"/>
    </row>
    <row r="331" spans="2:13">
      <c r="B331" s="410"/>
      <c r="C331" s="410"/>
      <c r="D331" s="411"/>
      <c r="E331" s="410"/>
      <c r="F331" s="410"/>
      <c r="G331" s="411"/>
      <c r="H331" s="410"/>
      <c r="I331" s="410"/>
      <c r="J331" s="411"/>
      <c r="K331" s="410"/>
      <c r="L331" s="410"/>
      <c r="M331" s="404"/>
    </row>
    <row r="332" spans="2:13">
      <c r="B332" s="410"/>
      <c r="C332" s="410"/>
      <c r="D332" s="411"/>
      <c r="E332" s="410"/>
      <c r="F332" s="410"/>
      <c r="G332" s="411"/>
      <c r="H332" s="410"/>
      <c r="I332" s="410"/>
      <c r="J332" s="411"/>
      <c r="K332" s="410"/>
      <c r="L332" s="410"/>
      <c r="M332" s="404"/>
    </row>
    <row r="333" spans="2:13">
      <c r="B333" s="410"/>
      <c r="C333" s="410"/>
      <c r="D333" s="411"/>
      <c r="E333" s="410"/>
      <c r="F333" s="410"/>
      <c r="G333" s="411"/>
      <c r="H333" s="410"/>
      <c r="I333" s="410"/>
      <c r="J333" s="411"/>
      <c r="K333" s="410"/>
      <c r="L333" s="410"/>
      <c r="M333" s="404"/>
    </row>
    <row r="334" spans="2:13">
      <c r="B334" s="410"/>
      <c r="C334" s="410"/>
      <c r="D334" s="411"/>
      <c r="E334" s="410"/>
      <c r="F334" s="410"/>
      <c r="G334" s="411"/>
      <c r="H334" s="410"/>
      <c r="I334" s="410"/>
      <c r="J334" s="411"/>
      <c r="K334" s="410"/>
      <c r="L334" s="410"/>
      <c r="M334" s="404"/>
    </row>
    <row r="335" spans="2:13">
      <c r="B335" s="410"/>
      <c r="C335" s="410"/>
      <c r="D335" s="411"/>
      <c r="E335" s="410"/>
      <c r="F335" s="410"/>
      <c r="G335" s="411"/>
      <c r="H335" s="410"/>
      <c r="I335" s="410"/>
      <c r="J335" s="411"/>
      <c r="K335" s="410"/>
      <c r="L335" s="410"/>
      <c r="M335" s="404"/>
    </row>
    <row r="336" spans="2:13">
      <c r="B336" s="410"/>
      <c r="C336" s="410"/>
      <c r="D336" s="411"/>
      <c r="E336" s="410"/>
      <c r="F336" s="410"/>
      <c r="G336" s="411"/>
      <c r="H336" s="410"/>
      <c r="I336" s="410"/>
      <c r="J336" s="411"/>
      <c r="K336" s="410"/>
      <c r="L336" s="410"/>
      <c r="M336" s="404"/>
    </row>
    <row r="337" spans="2:13">
      <c r="B337" s="410"/>
      <c r="C337" s="410"/>
      <c r="D337" s="411"/>
      <c r="E337" s="410"/>
      <c r="F337" s="410"/>
      <c r="G337" s="411"/>
      <c r="H337" s="410"/>
      <c r="I337" s="410"/>
      <c r="J337" s="411"/>
      <c r="K337" s="410"/>
      <c r="L337" s="410"/>
      <c r="M337" s="404"/>
    </row>
    <row r="338" spans="2:13">
      <c r="B338" s="410"/>
      <c r="C338" s="410"/>
      <c r="D338" s="411"/>
      <c r="E338" s="410"/>
      <c r="F338" s="410"/>
      <c r="G338" s="411"/>
      <c r="H338" s="410"/>
      <c r="I338" s="410"/>
      <c r="J338" s="411"/>
      <c r="K338" s="410"/>
      <c r="L338" s="410"/>
      <c r="M338" s="404"/>
    </row>
    <row r="339" spans="2:13">
      <c r="B339" s="410"/>
      <c r="C339" s="410"/>
      <c r="D339" s="411"/>
      <c r="E339" s="410"/>
      <c r="F339" s="410"/>
      <c r="G339" s="411"/>
      <c r="H339" s="410"/>
      <c r="I339" s="410"/>
      <c r="J339" s="411"/>
      <c r="K339" s="410"/>
      <c r="L339" s="410"/>
      <c r="M339" s="404"/>
    </row>
    <row r="340" spans="2:13">
      <c r="B340" s="410"/>
      <c r="C340" s="410"/>
      <c r="D340" s="411"/>
      <c r="E340" s="410"/>
      <c r="F340" s="410"/>
      <c r="G340" s="411"/>
      <c r="H340" s="410"/>
      <c r="I340" s="410"/>
      <c r="J340" s="411"/>
      <c r="K340" s="410"/>
      <c r="L340" s="410"/>
      <c r="M340" s="404"/>
    </row>
    <row r="341" spans="2:13">
      <c r="B341" s="410"/>
      <c r="C341" s="410"/>
      <c r="D341" s="411"/>
      <c r="E341" s="410"/>
      <c r="F341" s="410"/>
      <c r="G341" s="411"/>
      <c r="H341" s="410"/>
      <c r="I341" s="410"/>
      <c r="J341" s="411"/>
      <c r="K341" s="410"/>
      <c r="L341" s="410"/>
      <c r="M341" s="404"/>
    </row>
    <row r="342" spans="2:13">
      <c r="B342" s="410"/>
      <c r="C342" s="410"/>
      <c r="D342" s="411"/>
      <c r="E342" s="410"/>
      <c r="F342" s="410"/>
      <c r="G342" s="411"/>
      <c r="H342" s="410"/>
      <c r="I342" s="410"/>
      <c r="J342" s="411"/>
      <c r="K342" s="410"/>
      <c r="L342" s="410"/>
      <c r="M342" s="404"/>
    </row>
    <row r="343" spans="2:13">
      <c r="B343" s="410"/>
      <c r="C343" s="410"/>
      <c r="D343" s="411"/>
      <c r="E343" s="410"/>
      <c r="F343" s="410"/>
      <c r="G343" s="411"/>
      <c r="H343" s="410"/>
      <c r="I343" s="410"/>
      <c r="J343" s="411"/>
      <c r="K343" s="410"/>
      <c r="L343" s="410"/>
      <c r="M343" s="404"/>
    </row>
    <row r="344" spans="2:13">
      <c r="B344" s="410"/>
      <c r="C344" s="410"/>
      <c r="D344" s="411"/>
      <c r="E344" s="410"/>
      <c r="F344" s="410"/>
      <c r="G344" s="411"/>
      <c r="H344" s="410"/>
      <c r="I344" s="410"/>
      <c r="J344" s="411"/>
      <c r="K344" s="410"/>
      <c r="L344" s="410"/>
      <c r="M344" s="404"/>
    </row>
    <row r="345" spans="2:13">
      <c r="B345" s="410"/>
      <c r="C345" s="410"/>
      <c r="D345" s="411"/>
      <c r="E345" s="410"/>
      <c r="F345" s="410"/>
      <c r="G345" s="411"/>
      <c r="H345" s="410"/>
      <c r="I345" s="410"/>
      <c r="J345" s="411"/>
      <c r="K345" s="410"/>
      <c r="L345" s="410"/>
      <c r="M345" s="404"/>
    </row>
    <row r="346" spans="2:13">
      <c r="B346" s="410"/>
      <c r="C346" s="410"/>
      <c r="D346" s="411"/>
      <c r="E346" s="410"/>
      <c r="F346" s="410"/>
      <c r="G346" s="411"/>
      <c r="H346" s="410"/>
      <c r="I346" s="410"/>
      <c r="J346" s="411"/>
      <c r="K346" s="410"/>
      <c r="L346" s="410"/>
      <c r="M346" s="404"/>
    </row>
    <row r="347" spans="2:13">
      <c r="B347" s="410"/>
      <c r="C347" s="410"/>
      <c r="D347" s="411"/>
      <c r="E347" s="410"/>
      <c r="F347" s="410"/>
      <c r="G347" s="411"/>
      <c r="H347" s="410"/>
      <c r="I347" s="410"/>
      <c r="J347" s="411"/>
      <c r="K347" s="410"/>
      <c r="L347" s="410"/>
      <c r="M347" s="404"/>
    </row>
    <row r="348" spans="2:13">
      <c r="B348" s="410"/>
      <c r="C348" s="410"/>
      <c r="D348" s="411"/>
      <c r="E348" s="410"/>
      <c r="F348" s="410"/>
      <c r="G348" s="411"/>
      <c r="H348" s="410"/>
      <c r="I348" s="410"/>
      <c r="J348" s="411"/>
      <c r="K348" s="410"/>
      <c r="L348" s="410"/>
      <c r="M348" s="404"/>
    </row>
    <row r="349" spans="2:13">
      <c r="B349" s="410"/>
      <c r="C349" s="410"/>
      <c r="D349" s="411"/>
      <c r="E349" s="410"/>
      <c r="F349" s="410"/>
      <c r="G349" s="411"/>
      <c r="H349" s="410"/>
      <c r="I349" s="410"/>
      <c r="J349" s="411"/>
      <c r="K349" s="410"/>
      <c r="L349" s="410"/>
      <c r="M349" s="404"/>
    </row>
    <row r="350" spans="2:13">
      <c r="B350" s="410"/>
      <c r="C350" s="410"/>
      <c r="D350" s="411"/>
      <c r="E350" s="410"/>
      <c r="F350" s="410"/>
      <c r="G350" s="411"/>
      <c r="H350" s="410"/>
      <c r="I350" s="410"/>
      <c r="J350" s="411"/>
      <c r="K350" s="410"/>
      <c r="L350" s="410"/>
      <c r="M350" s="404"/>
    </row>
    <row r="351" spans="2:13">
      <c r="B351" s="410"/>
      <c r="C351" s="410"/>
      <c r="D351" s="411"/>
      <c r="E351" s="410"/>
      <c r="F351" s="410"/>
      <c r="G351" s="411"/>
      <c r="H351" s="410"/>
      <c r="I351" s="410"/>
      <c r="J351" s="411"/>
      <c r="K351" s="410"/>
      <c r="L351" s="410"/>
      <c r="M351" s="404"/>
    </row>
    <row r="352" spans="2:13">
      <c r="B352" s="410"/>
      <c r="C352" s="410"/>
      <c r="D352" s="411"/>
      <c r="E352" s="410"/>
      <c r="F352" s="410"/>
      <c r="G352" s="411"/>
      <c r="H352" s="410"/>
      <c r="I352" s="410"/>
      <c r="J352" s="411"/>
      <c r="K352" s="410"/>
      <c r="L352" s="410"/>
      <c r="M352" s="404"/>
    </row>
    <row r="353" spans="2:13">
      <c r="B353" s="410"/>
      <c r="C353" s="410"/>
      <c r="D353" s="411"/>
      <c r="E353" s="410"/>
      <c r="F353" s="410"/>
      <c r="G353" s="411"/>
      <c r="H353" s="410"/>
      <c r="I353" s="410"/>
      <c r="J353" s="411"/>
      <c r="K353" s="410"/>
      <c r="L353" s="410"/>
      <c r="M353" s="404"/>
    </row>
    <row r="354" spans="2:13">
      <c r="B354" s="410"/>
      <c r="C354" s="410"/>
      <c r="D354" s="411"/>
      <c r="E354" s="410"/>
      <c r="F354" s="410"/>
      <c r="G354" s="411"/>
      <c r="H354" s="410"/>
      <c r="I354" s="410"/>
      <c r="J354" s="411"/>
      <c r="K354" s="410"/>
      <c r="L354" s="410"/>
      <c r="M354" s="404"/>
    </row>
    <row r="355" spans="2:13">
      <c r="B355" s="410"/>
      <c r="C355" s="410"/>
      <c r="D355" s="411"/>
      <c r="E355" s="410"/>
      <c r="F355" s="410"/>
      <c r="G355" s="411"/>
      <c r="H355" s="410"/>
      <c r="I355" s="410"/>
      <c r="J355" s="411"/>
      <c r="K355" s="410"/>
      <c r="L355" s="410"/>
      <c r="M355" s="404"/>
    </row>
    <row r="356" spans="2:13">
      <c r="B356" s="410"/>
      <c r="C356" s="410"/>
      <c r="D356" s="411"/>
      <c r="E356" s="410"/>
      <c r="F356" s="410"/>
      <c r="G356" s="411"/>
      <c r="H356" s="410"/>
      <c r="I356" s="410"/>
      <c r="J356" s="411"/>
      <c r="K356" s="410"/>
      <c r="L356" s="410"/>
      <c r="M356" s="404"/>
    </row>
    <row r="357" spans="2:13">
      <c r="B357" s="410"/>
      <c r="C357" s="410"/>
      <c r="D357" s="411"/>
      <c r="E357" s="410"/>
      <c r="F357" s="410"/>
      <c r="G357" s="411"/>
      <c r="H357" s="410"/>
      <c r="I357" s="410"/>
      <c r="J357" s="411"/>
      <c r="K357" s="410"/>
      <c r="L357" s="410"/>
      <c r="M357" s="404"/>
    </row>
    <row r="358" spans="2:13">
      <c r="B358" s="410"/>
      <c r="C358" s="410"/>
      <c r="D358" s="411"/>
      <c r="E358" s="410"/>
      <c r="F358" s="410"/>
      <c r="G358" s="411"/>
      <c r="H358" s="410"/>
      <c r="I358" s="410"/>
      <c r="J358" s="411"/>
      <c r="K358" s="410"/>
      <c r="L358" s="410"/>
      <c r="M358" s="404"/>
    </row>
    <row r="359" spans="2:13">
      <c r="B359" s="410"/>
      <c r="C359" s="410"/>
      <c r="D359" s="411"/>
      <c r="E359" s="410"/>
      <c r="F359" s="410"/>
      <c r="G359" s="411"/>
      <c r="H359" s="410"/>
      <c r="I359" s="410"/>
      <c r="J359" s="411"/>
      <c r="K359" s="410"/>
      <c r="L359" s="410"/>
      <c r="M359" s="404"/>
    </row>
    <row r="360" spans="2:13">
      <c r="B360" s="410"/>
      <c r="C360" s="410"/>
      <c r="D360" s="411"/>
      <c r="E360" s="410"/>
      <c r="F360" s="410"/>
      <c r="G360" s="411"/>
      <c r="H360" s="410"/>
      <c r="I360" s="410"/>
      <c r="J360" s="411"/>
      <c r="K360" s="410"/>
      <c r="L360" s="410"/>
      <c r="M360" s="404"/>
    </row>
    <row r="361" spans="2:13">
      <c r="B361" s="410"/>
      <c r="C361" s="410"/>
      <c r="D361" s="411"/>
      <c r="E361" s="410"/>
      <c r="F361" s="410"/>
      <c r="G361" s="411"/>
      <c r="H361" s="410"/>
      <c r="I361" s="410"/>
      <c r="J361" s="411"/>
      <c r="K361" s="410"/>
      <c r="L361" s="410"/>
      <c r="M361" s="404"/>
    </row>
    <row r="362" spans="2:13">
      <c r="B362" s="410"/>
      <c r="C362" s="410"/>
      <c r="D362" s="411"/>
      <c r="E362" s="410"/>
      <c r="F362" s="410"/>
      <c r="G362" s="411"/>
      <c r="H362" s="410"/>
      <c r="I362" s="410"/>
      <c r="J362" s="411"/>
      <c r="K362" s="410"/>
      <c r="L362" s="410"/>
      <c r="M362" s="404"/>
    </row>
    <row r="363" spans="2:13">
      <c r="B363" s="410"/>
      <c r="C363" s="410"/>
      <c r="D363" s="411"/>
      <c r="E363" s="410"/>
      <c r="F363" s="410"/>
      <c r="G363" s="411"/>
      <c r="H363" s="410"/>
      <c r="I363" s="410"/>
      <c r="J363" s="411"/>
      <c r="K363" s="410"/>
      <c r="L363" s="410"/>
      <c r="M363" s="404"/>
    </row>
    <row r="364" spans="2:13">
      <c r="B364" s="412"/>
      <c r="C364" s="412"/>
      <c r="D364" s="412"/>
      <c r="E364" s="412"/>
      <c r="F364" s="412"/>
      <c r="G364" s="412"/>
      <c r="H364" s="412"/>
      <c r="I364" s="412"/>
      <c r="J364" s="412"/>
      <c r="K364" s="412"/>
      <c r="L364" s="412"/>
    </row>
  </sheetData>
  <mergeCells count="9">
    <mergeCell ref="B73:C73"/>
    <mergeCell ref="E73:F73"/>
    <mergeCell ref="H73:I73"/>
    <mergeCell ref="K73:L73"/>
    <mergeCell ref="B2:M3"/>
    <mergeCell ref="D54:E54"/>
    <mergeCell ref="F54:G54"/>
    <mergeCell ref="I54:J54"/>
    <mergeCell ref="K54:L54"/>
  </mergeCells>
  <pageMargins left="0.7" right="0.7" top="0.78740157500000008" bottom="0.78740157500000008" header="0.3" footer="0.3"/>
  <pageSetup paperSize="9" scale="20" fitToHeight="0" orientation="portrait"/>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2D3012-0498-4A6D-B0A5-05FA13FE2E58}">
  <sheetPr>
    <pageSetUpPr fitToPage="1"/>
  </sheetPr>
  <dimension ref="A1:F6"/>
  <sheetViews>
    <sheetView zoomScale="80" zoomScaleNormal="80" workbookViewId="0">
      <selection activeCell="D4" sqref="D4:D5"/>
    </sheetView>
  </sheetViews>
  <sheetFormatPr baseColWidth="10" defaultColWidth="11.36328125" defaultRowHeight="14"/>
  <cols>
    <col min="1" max="1" width="33.26953125" style="912" customWidth="1"/>
    <col min="2" max="2" width="66.6328125" style="912" customWidth="1"/>
    <col min="3" max="3" width="19.6328125" style="912" customWidth="1"/>
    <col min="4" max="4" width="30.7265625" style="917" customWidth="1"/>
    <col min="5" max="5" width="11.36328125" style="912" hidden="1" customWidth="1"/>
    <col min="6" max="6" width="32.7265625" style="912" customWidth="1"/>
    <col min="7" max="16384" width="11.36328125" style="912"/>
  </cols>
  <sheetData>
    <row r="1" spans="1:6" ht="34" customHeight="1">
      <c r="A1" s="1385" t="s">
        <v>603</v>
      </c>
      <c r="B1" s="1385"/>
      <c r="C1" s="1385"/>
      <c r="D1" s="911"/>
    </row>
    <row r="2" spans="1:6" ht="7.5" customHeight="1" thickBot="1">
      <c r="A2" s="171"/>
      <c r="B2" s="141"/>
      <c r="C2" s="172"/>
      <c r="D2" s="218"/>
    </row>
    <row r="3" spans="1:6" ht="31.5" thickBot="1">
      <c r="A3" s="913" t="s">
        <v>19</v>
      </c>
      <c r="B3" s="806" t="s">
        <v>17</v>
      </c>
      <c r="C3" s="807" t="s">
        <v>113</v>
      </c>
      <c r="D3" s="769" t="s">
        <v>21</v>
      </c>
      <c r="E3" s="162">
        <v>0</v>
      </c>
      <c r="F3" s="914" t="s">
        <v>50</v>
      </c>
    </row>
    <row r="4" spans="1:6" ht="30" customHeight="1">
      <c r="A4" s="1386" t="s">
        <v>599</v>
      </c>
      <c r="B4" s="901" t="s">
        <v>604</v>
      </c>
      <c r="C4" s="211">
        <v>5</v>
      </c>
      <c r="D4" s="1388">
        <v>0</v>
      </c>
      <c r="E4" s="162">
        <v>5</v>
      </c>
      <c r="F4" s="1390"/>
    </row>
    <row r="5" spans="1:6" ht="30" customHeight="1" thickBot="1">
      <c r="A5" s="1387"/>
      <c r="B5" s="915" t="s">
        <v>605</v>
      </c>
      <c r="C5" s="310">
        <v>10</v>
      </c>
      <c r="D5" s="1389"/>
      <c r="E5" s="162">
        <v>10</v>
      </c>
      <c r="F5" s="1391"/>
    </row>
    <row r="6" spans="1:6" ht="30.75" customHeight="1" thickBot="1">
      <c r="A6" s="1392" t="s">
        <v>20</v>
      </c>
      <c r="B6" s="1393"/>
      <c r="C6" s="916"/>
      <c r="D6" s="764">
        <f>IF(SUM(D4:D5)&gt;10,10,SUM(D4:D5))</f>
        <v>0</v>
      </c>
      <c r="E6" s="303"/>
      <c r="F6" s="454"/>
    </row>
  </sheetData>
  <sheetProtection algorithmName="SHA-512" hashValue="Ww5QA+kffMzhbr36KVslqtFe1YW2qthnoTl3coLzga5/kUYhNsbOxyvw1+Z5+BkBuBpRmPDuzpJ4iQr/jnfHXw==" saltValue="gYWUJQdOi2emyP8c3uyIqA==" spinCount="100000" sheet="1" autoFilter="0"/>
  <protectedRanges>
    <protectedRange sqref="F4" name="Bereich2"/>
    <protectedRange sqref="D4:D5" name="Bereich1"/>
  </protectedRanges>
  <mergeCells count="5">
    <mergeCell ref="A1:C1"/>
    <mergeCell ref="A4:A5"/>
    <mergeCell ref="D4:D5"/>
    <mergeCell ref="F4:F5"/>
    <mergeCell ref="A6:B6"/>
  </mergeCells>
  <dataValidations count="1">
    <dataValidation type="list" allowBlank="1" showInputMessage="1" showErrorMessage="1" errorTitle="Falscher Wert!" error="Bitte geben Sie die Zahl 0 oder 5 ein." sqref="D4:D5" xr:uid="{7668D8A7-CD59-4995-B633-1BB6F2168BDC}">
      <formula1>$E$3:$E$5</formula1>
    </dataValidation>
  </dataValidations>
  <printOptions horizontalCentered="1"/>
  <pageMargins left="0.59055118110236227" right="0.59055118110236227" top="0.59055118110236227" bottom="0.59055118110236227" header="0.31496062992125984" footer="0.31496062992125984"/>
  <pageSetup paperSize="9" scale="8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112565-FB2B-46CE-931E-3B9A9B85251D}">
  <sheetPr codeName="Tabelle12">
    <pageSetUpPr fitToPage="1"/>
  </sheetPr>
  <dimension ref="A1:N21"/>
  <sheetViews>
    <sheetView showGridLines="0" topLeftCell="A9" zoomScaleNormal="100" workbookViewId="0">
      <selection activeCell="C20" sqref="C20"/>
    </sheetView>
  </sheetViews>
  <sheetFormatPr baseColWidth="10" defaultColWidth="11.453125" defaultRowHeight="12.5"/>
  <cols>
    <col min="1" max="1" width="112" style="161" customWidth="1"/>
    <col min="2" max="2" width="17.7265625" style="161" customWidth="1"/>
    <col min="3" max="3" width="17.1796875" style="161" customWidth="1"/>
    <col min="4" max="6" width="11.453125" style="161" hidden="1" customWidth="1"/>
    <col min="7" max="7" width="7" style="161" hidden="1" customWidth="1"/>
    <col min="8" max="8" width="30.7265625" style="162" customWidth="1"/>
    <col min="9" max="9" width="11.453125" style="161"/>
    <col min="10" max="11" width="13.7265625" style="161" customWidth="1"/>
    <col min="12" max="12" width="12.1796875" style="161" customWidth="1"/>
    <col min="13" max="13" width="11.453125" style="161"/>
    <col min="14" max="14" width="21.1796875" style="161" customWidth="1"/>
    <col min="15" max="16384" width="11.453125" style="161"/>
  </cols>
  <sheetData>
    <row r="1" spans="1:14" s="150" customFormat="1" ht="40" customHeight="1">
      <c r="A1" s="1172" t="s">
        <v>620</v>
      </c>
      <c r="B1" s="1172"/>
      <c r="C1" s="1172"/>
      <c r="D1" s="165"/>
      <c r="E1" s="165"/>
      <c r="F1" s="165"/>
      <c r="G1" s="165"/>
      <c r="H1" s="208"/>
    </row>
    <row r="2" spans="1:14" s="150" customFormat="1" ht="26" customHeight="1" thickBot="1">
      <c r="A2" s="163" t="s">
        <v>103</v>
      </c>
      <c r="B2" s="165"/>
      <c r="C2" s="165"/>
      <c r="D2" s="165"/>
      <c r="E2" s="165"/>
      <c r="F2" s="165"/>
      <c r="G2" s="165"/>
      <c r="H2" s="208"/>
    </row>
    <row r="3" spans="1:14" ht="32.25" customHeight="1" thickBot="1">
      <c r="A3" s="767" t="s">
        <v>19</v>
      </c>
      <c r="B3" s="934" t="s">
        <v>614</v>
      </c>
      <c r="C3" s="935" t="s">
        <v>22</v>
      </c>
      <c r="H3" s="936" t="s">
        <v>50</v>
      </c>
    </row>
    <row r="4" spans="1:14" s="140" customFormat="1" ht="30" customHeight="1" thickBot="1">
      <c r="A4" s="937" t="s">
        <v>137</v>
      </c>
      <c r="B4" s="938"/>
      <c r="C4" s="939"/>
      <c r="D4" s="140">
        <v>0</v>
      </c>
      <c r="H4" s="936"/>
      <c r="J4" s="1394" t="s">
        <v>136</v>
      </c>
      <c r="K4" s="1395"/>
      <c r="L4" s="1395"/>
      <c r="M4" s="1396"/>
      <c r="N4" s="936" t="s">
        <v>50</v>
      </c>
    </row>
    <row r="5" spans="1:14" s="140" customFormat="1" ht="30" customHeight="1" thickBot="1">
      <c r="A5" s="941" t="s">
        <v>615</v>
      </c>
      <c r="B5" s="211">
        <v>20</v>
      </c>
      <c r="C5" s="1398"/>
      <c r="D5" s="140">
        <f>B5</f>
        <v>20</v>
      </c>
      <c r="H5" s="936"/>
      <c r="J5" s="1397" t="s">
        <v>138</v>
      </c>
      <c r="K5" s="1396"/>
      <c r="L5" s="940"/>
      <c r="M5" s="318" t="s">
        <v>139</v>
      </c>
      <c r="N5" s="936"/>
    </row>
    <row r="6" spans="1:14" s="140" customFormat="1" ht="30" customHeight="1" thickBot="1">
      <c r="A6" s="942" t="s">
        <v>191</v>
      </c>
      <c r="B6" s="310">
        <v>30</v>
      </c>
      <c r="C6" s="1399"/>
      <c r="D6" s="140">
        <f>B6</f>
        <v>30</v>
      </c>
      <c r="H6" s="936"/>
      <c r="I6" s="321"/>
      <c r="J6" s="1397" t="s">
        <v>140</v>
      </c>
      <c r="K6" s="1396"/>
      <c r="L6" s="319">
        <f>(450/2860)*L5</f>
        <v>0</v>
      </c>
      <c r="M6" s="320" t="s">
        <v>141</v>
      </c>
      <c r="N6" s="936"/>
    </row>
    <row r="7" spans="1:14" s="140" customFormat="1" ht="30" customHeight="1" thickBot="1">
      <c r="A7" s="937" t="s">
        <v>616</v>
      </c>
      <c r="B7" s="938"/>
      <c r="C7" s="1399"/>
      <c r="D7" s="140">
        <f>B8</f>
        <v>50</v>
      </c>
      <c r="H7" s="936"/>
      <c r="I7" s="321"/>
      <c r="J7" s="1397" t="s">
        <v>142</v>
      </c>
      <c r="K7" s="1396"/>
      <c r="L7" s="272">
        <f>L6*0.8</f>
        <v>0</v>
      </c>
      <c r="M7" s="322" t="s">
        <v>141</v>
      </c>
      <c r="N7" s="936"/>
    </row>
    <row r="8" spans="1:14" s="321" customFormat="1" ht="30" customHeight="1">
      <c r="A8" s="941" t="s">
        <v>617</v>
      </c>
      <c r="B8" s="211">
        <v>50</v>
      </c>
      <c r="C8" s="1399"/>
      <c r="D8" s="140">
        <f>B9</f>
        <v>65</v>
      </c>
      <c r="E8" s="140"/>
      <c r="F8" s="140"/>
      <c r="G8" s="140"/>
      <c r="H8" s="936"/>
      <c r="J8" s="161"/>
      <c r="K8" s="161"/>
      <c r="L8" s="161"/>
      <c r="M8" s="161"/>
      <c r="N8" s="161"/>
    </row>
    <row r="9" spans="1:14" s="321" customFormat="1" ht="30" customHeight="1" thickBot="1">
      <c r="A9" s="942" t="s">
        <v>618</v>
      </c>
      <c r="B9" s="212">
        <v>65</v>
      </c>
      <c r="C9" s="1400"/>
      <c r="E9" s="140"/>
      <c r="F9" s="140"/>
      <c r="G9" s="140"/>
      <c r="H9" s="936"/>
      <c r="J9" s="161"/>
      <c r="K9" s="161"/>
      <c r="L9" s="161"/>
      <c r="M9" s="161"/>
      <c r="N9" s="161"/>
    </row>
    <row r="10" spans="1:14" s="321" customFormat="1" ht="30" customHeight="1" thickBot="1">
      <c r="A10" s="937" t="s">
        <v>619</v>
      </c>
      <c r="B10" s="938"/>
      <c r="C10" s="316"/>
      <c r="D10" s="140"/>
      <c r="E10" s="140"/>
      <c r="F10" s="140"/>
      <c r="G10" s="140"/>
      <c r="H10" s="936"/>
      <c r="J10" s="161"/>
      <c r="K10" s="161"/>
      <c r="L10" s="161"/>
      <c r="M10" s="161"/>
      <c r="N10" s="161"/>
    </row>
    <row r="11" spans="1:14" ht="31" customHeight="1" thickBot="1">
      <c r="A11" s="309" t="s">
        <v>143</v>
      </c>
      <c r="B11" s="212">
        <v>10</v>
      </c>
      <c r="C11" s="943"/>
      <c r="D11" s="140">
        <v>0</v>
      </c>
      <c r="E11" s="140"/>
      <c r="F11" s="140"/>
      <c r="G11" s="140"/>
      <c r="H11" s="936"/>
      <c r="I11" s="321"/>
    </row>
    <row r="12" spans="1:14" ht="28" customHeight="1" thickBot="1">
      <c r="A12" s="944" t="s">
        <v>20</v>
      </c>
      <c r="B12" s="945" t="s">
        <v>144</v>
      </c>
      <c r="C12" s="804">
        <f>C5+C11</f>
        <v>0</v>
      </c>
      <c r="D12" s="321"/>
      <c r="E12" s="321"/>
      <c r="F12" s="321"/>
      <c r="G12" s="161">
        <v>65</v>
      </c>
      <c r="H12" s="447"/>
    </row>
    <row r="14" spans="1:14">
      <c r="D14" s="140"/>
    </row>
    <row r="15" spans="1:14" ht="58.5" customHeight="1"/>
    <row r="16" spans="1:14">
      <c r="A16" s="1116" t="s">
        <v>276</v>
      </c>
      <c r="B16" s="1116"/>
      <c r="C16" s="1116"/>
    </row>
    <row r="18" spans="1:8" ht="40.5" customHeight="1" thickBot="1">
      <c r="A18" s="295" t="s">
        <v>202</v>
      </c>
      <c r="B18" s="131"/>
      <c r="C18" s="131"/>
      <c r="D18" s="262"/>
      <c r="E18" s="162"/>
    </row>
    <row r="19" spans="1:8" ht="30" customHeight="1" thickBot="1">
      <c r="A19" s="166" t="s">
        <v>19</v>
      </c>
      <c r="B19" s="227" t="s">
        <v>114</v>
      </c>
      <c r="C19" s="228" t="s">
        <v>22</v>
      </c>
      <c r="E19" s="205"/>
      <c r="H19" s="159" t="s">
        <v>50</v>
      </c>
    </row>
    <row r="20" spans="1:8" ht="30" customHeight="1">
      <c r="A20" s="226" t="s">
        <v>104</v>
      </c>
      <c r="B20" s="206">
        <v>50</v>
      </c>
      <c r="C20" s="317"/>
      <c r="E20" s="164"/>
      <c r="H20" s="430"/>
    </row>
    <row r="21" spans="1:8" ht="30" customHeight="1" thickBot="1">
      <c r="A21" s="168" t="s">
        <v>20</v>
      </c>
      <c r="B21" s="323">
        <v>50</v>
      </c>
      <c r="C21" s="169">
        <f>IF(C20&gt;50,"Fehler",C20)</f>
        <v>0</v>
      </c>
      <c r="E21" s="263"/>
      <c r="H21" s="430"/>
    </row>
  </sheetData>
  <sheetProtection algorithmName="SHA-512" hashValue="f9ugk6ZuYpXXFE8h3viswjAiLoc/Kzis20Mjoi7NAmjwmFzPoUSjMvmHOYkIVOz80lMoz4ynniD/NafHTxEAUw==" saltValue="ZrppT01Jo4MIS84Vuy1FEw==" spinCount="100000" sheet="1"/>
  <protectedRanges>
    <protectedRange sqref="C20" name="Bereich7"/>
    <protectedRange sqref="H20:H21" name="Bereich6"/>
    <protectedRange sqref="L5" name="Bereich4_3"/>
    <protectedRange sqref="C11" name="Bereich3_3"/>
    <protectedRange sqref="C5" name="Bereich2_3"/>
    <protectedRange sqref="H4:H11" name="Bereich1_3"/>
    <protectedRange sqref="N5:N7" name="Bereich6_3"/>
  </protectedRanges>
  <mergeCells count="7">
    <mergeCell ref="A16:C16"/>
    <mergeCell ref="A1:C1"/>
    <mergeCell ref="J4:M4"/>
    <mergeCell ref="J5:K5"/>
    <mergeCell ref="J6:K6"/>
    <mergeCell ref="J7:K7"/>
    <mergeCell ref="C5:C9"/>
  </mergeCells>
  <dataValidations count="2">
    <dataValidation type="list" allowBlank="1" showInputMessage="1" showErrorMessage="1" sqref="C11" xr:uid="{7C6E9586-0087-4156-BC4B-92494C5126D9}">
      <formula1>"0,10"</formula1>
    </dataValidation>
    <dataValidation type="list" allowBlank="1" showInputMessage="1" showErrorMessage="1" sqref="C5:C9" xr:uid="{B6B6F466-68D9-495F-9F5E-9EE2C06DBFF7}">
      <formula1>$D$4:$D$8</formula1>
    </dataValidation>
  </dataValidations>
  <printOptions horizontalCentered="1"/>
  <pageMargins left="0.59055118110236227" right="0.59055118110236227" top="0.59055118110236227" bottom="0.59055118110236227" header="0.31496062992125984" footer="0.31496062992125984"/>
  <pageSetup paperSize="9" scale="57"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3"/>
  <dimension ref="A1:P55"/>
  <sheetViews>
    <sheetView showGridLines="0" zoomScale="80" zoomScaleNormal="80" workbookViewId="0">
      <selection activeCell="G46" sqref="G46"/>
    </sheetView>
  </sheetViews>
  <sheetFormatPr baseColWidth="10" defaultColWidth="11.453125" defaultRowHeight="12.5"/>
  <cols>
    <col min="1" max="1" width="11.453125" style="161"/>
    <col min="2" max="2" width="20.453125" style="161" customWidth="1"/>
    <col min="3" max="3" width="23.1796875" style="161" customWidth="1"/>
    <col min="4" max="4" width="13.7265625" style="161" customWidth="1"/>
    <col min="5" max="5" width="7.453125" style="161" hidden="1" customWidth="1"/>
    <col min="6" max="6" width="30.7265625" style="308" customWidth="1"/>
    <col min="7" max="7" width="49.36328125" style="161" customWidth="1"/>
    <col min="8" max="8" width="26.26953125" style="161" hidden="1" customWidth="1"/>
    <col min="9" max="9" width="16.1796875" style="161" hidden="1" customWidth="1"/>
    <col min="10" max="10" width="18" style="161" hidden="1" customWidth="1"/>
    <col min="11" max="11" width="17.1796875" style="161" hidden="1" customWidth="1"/>
    <col min="12" max="12" width="43.26953125" style="161" customWidth="1"/>
    <col min="13" max="13" width="33.453125" style="161" customWidth="1"/>
    <col min="14" max="14" width="17.453125" style="161" bestFit="1" customWidth="1"/>
    <col min="15" max="16384" width="11.453125" style="161"/>
  </cols>
  <sheetData>
    <row r="1" spans="1:16" ht="15.5">
      <c r="A1" s="1172" t="s">
        <v>51</v>
      </c>
      <c r="B1" s="1172"/>
      <c r="C1" s="1172"/>
      <c r="D1" s="1172"/>
    </row>
    <row r="2" spans="1:16" ht="16" thickBot="1">
      <c r="A2" s="171"/>
      <c r="B2" s="171"/>
      <c r="C2" s="171"/>
      <c r="D2" s="171"/>
    </row>
    <row r="3" spans="1:16" s="140" customFormat="1" ht="26">
      <c r="A3" s="1410" t="s">
        <v>222</v>
      </c>
      <c r="B3" s="1411"/>
      <c r="C3" s="1411"/>
      <c r="D3" s="500" t="s">
        <v>21</v>
      </c>
      <c r="F3" s="501" t="s">
        <v>50</v>
      </c>
      <c r="G3" s="502" t="s">
        <v>223</v>
      </c>
      <c r="H3" s="455" t="s">
        <v>224</v>
      </c>
      <c r="I3" s="456" t="s">
        <v>225</v>
      </c>
      <c r="J3" s="456" t="s">
        <v>226</v>
      </c>
      <c r="K3" s="456" t="s">
        <v>227</v>
      </c>
    </row>
    <row r="4" spans="1:16" s="140" customFormat="1" ht="30" customHeight="1">
      <c r="A4" s="503" t="s">
        <v>23</v>
      </c>
      <c r="B4" s="504" t="s">
        <v>24</v>
      </c>
      <c r="C4" s="505" t="s">
        <v>25</v>
      </c>
      <c r="D4" s="1412">
        <f>IF(AND(G5&gt;0,G5&lt;=299.99),50,IF(AND(G5&gt;=300,G5&lt;=499.99),35,IF(AND(G5&gt;=500,G5&lt;=999.99),20,IF(AND(G5&gt;=1000,G5&lt;=2999.99),0,IF(G5&gt;=3000,0,"")))))</f>
        <v>0</v>
      </c>
      <c r="E4" s="140">
        <v>0</v>
      </c>
      <c r="F4" s="167"/>
      <c r="G4" s="506" t="s">
        <v>222</v>
      </c>
      <c r="H4" s="457" t="s">
        <v>228</v>
      </c>
      <c r="I4" s="458" t="str">
        <f>IF(AND($G$5&lt;=2999.99,$G$7&lt;=0.99),"ERFÜLLT","Nicht Erfüllt")</f>
        <v>Nicht Erfüllt</v>
      </c>
      <c r="J4" s="458" t="str">
        <f>IF(AND($G$5&lt;=499.99,$G$7&lt;=0.079),"ERFÜLLT","Nicht Erfüllt")</f>
        <v>Nicht Erfüllt</v>
      </c>
      <c r="K4" s="458" t="str">
        <f>IF(AND($G$5&lt;=299.99,$G$7&lt;=0.039),"ERFÜLLT","Nicht Erfüllt")</f>
        <v>Nicht Erfüllt</v>
      </c>
      <c r="N4" s="135"/>
    </row>
    <row r="5" spans="1:16" s="140" customFormat="1" ht="30" customHeight="1">
      <c r="A5" s="503" t="s">
        <v>26</v>
      </c>
      <c r="B5" s="504" t="s">
        <v>229</v>
      </c>
      <c r="C5" s="505" t="s">
        <v>27</v>
      </c>
      <c r="D5" s="1413"/>
      <c r="E5" s="140">
        <v>20</v>
      </c>
      <c r="F5" s="167"/>
      <c r="G5" s="507" t="str">
        <f>IF(AND(ISNUMBER(D33),ISNUMBER(H33)),H33/D33," ")</f>
        <v xml:space="preserve"> </v>
      </c>
      <c r="H5" s="459"/>
      <c r="I5" s="459"/>
      <c r="P5" s="460"/>
    </row>
    <row r="6" spans="1:16" s="140" customFormat="1" ht="30" customHeight="1">
      <c r="A6" s="503" t="s">
        <v>28</v>
      </c>
      <c r="B6" s="504" t="s">
        <v>230</v>
      </c>
      <c r="C6" s="505" t="s">
        <v>29</v>
      </c>
      <c r="D6" s="1413"/>
      <c r="E6" s="140">
        <v>35</v>
      </c>
      <c r="F6" s="167"/>
      <c r="G6" s="506" t="s">
        <v>33</v>
      </c>
      <c r="H6" s="58"/>
      <c r="I6" s="58"/>
      <c r="P6" s="460"/>
    </row>
    <row r="7" spans="1:16" s="140" customFormat="1" ht="25">
      <c r="A7" s="503" t="s">
        <v>30</v>
      </c>
      <c r="B7" s="504" t="s">
        <v>231</v>
      </c>
      <c r="C7" s="505" t="s">
        <v>31</v>
      </c>
      <c r="D7" s="1413"/>
      <c r="E7" s="140">
        <v>50</v>
      </c>
      <c r="F7" s="508"/>
      <c r="G7" s="509" t="str">
        <f>IF(AND(ISNUMBER(D51),ISNUMBER(H51)),H51/D51," ")</f>
        <v xml:space="preserve"> </v>
      </c>
      <c r="H7" s="446"/>
    </row>
    <row r="8" spans="1:16" s="140" customFormat="1" ht="22.5" customHeight="1">
      <c r="A8" s="510"/>
      <c r="B8" s="504" t="s">
        <v>232</v>
      </c>
      <c r="C8" s="505" t="s">
        <v>32</v>
      </c>
      <c r="D8" s="1414"/>
      <c r="F8" s="167"/>
      <c r="G8" s="726" t="s">
        <v>240</v>
      </c>
      <c r="H8" s="461" t="s">
        <v>233</v>
      </c>
      <c r="I8" s="459"/>
    </row>
    <row r="9" spans="1:16" s="140" customFormat="1" ht="22.5" customHeight="1">
      <c r="A9" s="1415" t="s">
        <v>33</v>
      </c>
      <c r="B9" s="1416"/>
      <c r="C9" s="1417"/>
      <c r="D9" s="511"/>
      <c r="G9" s="513" t="str">
        <f>Nebenrechnungen!C40</f>
        <v>Ja</v>
      </c>
      <c r="H9" s="441" t="s">
        <v>234</v>
      </c>
      <c r="N9" s="462"/>
    </row>
    <row r="10" spans="1:16" s="140" customFormat="1" ht="26.25" customHeight="1">
      <c r="A10" s="503" t="s">
        <v>23</v>
      </c>
      <c r="B10" s="504" t="s">
        <v>34</v>
      </c>
      <c r="C10" s="505" t="s">
        <v>29</v>
      </c>
      <c r="D10" s="1413">
        <f>IF(AND(G7&gt;0,G7&lt;=0.039),20,IF(AND(G7&gt;=0.04,G7&lt;=0.079),10,IF(AND(G7&gt;=0.08,G7&lt;=0.099),5,IF(G7&gt;=0.1,0,""))))</f>
        <v>0</v>
      </c>
      <c r="E10" s="140">
        <v>0</v>
      </c>
      <c r="F10" s="512"/>
      <c r="G10" s="727"/>
      <c r="H10" s="463" t="str">
        <f>IF(AND(K4="ERFÜLLT",G10=K33,G11=K51),"ERFÜLLT","nicht erfüllt")</f>
        <v>nicht erfüllt</v>
      </c>
      <c r="N10" s="462"/>
    </row>
    <row r="11" spans="1:16" s="140" customFormat="1" ht="26.25" customHeight="1">
      <c r="A11" s="503" t="s">
        <v>26</v>
      </c>
      <c r="B11" s="504" t="s">
        <v>236</v>
      </c>
      <c r="C11" s="505" t="s">
        <v>35</v>
      </c>
      <c r="D11" s="1413"/>
      <c r="E11" s="140">
        <v>5</v>
      </c>
      <c r="F11" s="512"/>
      <c r="G11" s="727"/>
      <c r="H11" s="441" t="s">
        <v>238</v>
      </c>
      <c r="N11" s="462"/>
    </row>
    <row r="12" spans="1:16" s="140" customFormat="1" ht="26.25" customHeight="1">
      <c r="A12" s="503" t="s">
        <v>28</v>
      </c>
      <c r="B12" s="504" t="s">
        <v>239</v>
      </c>
      <c r="C12" s="505" t="s">
        <v>36</v>
      </c>
      <c r="D12" s="1413"/>
      <c r="E12" s="140">
        <v>10</v>
      </c>
      <c r="F12" s="512"/>
      <c r="G12" s="123"/>
      <c r="H12" s="463" t="str">
        <f>IF(AND(J4="ERFÜLLT",G10=J33,G11=J51),"ERFÜLLT","nicht erfüllt")</f>
        <v>nicht erfüllt</v>
      </c>
      <c r="K12" s="464"/>
      <c r="M12" s="459"/>
      <c r="N12" s="462"/>
    </row>
    <row r="13" spans="1:16" s="140" customFormat="1" ht="26.25" customHeight="1">
      <c r="A13" s="514" t="s">
        <v>30</v>
      </c>
      <c r="B13" s="515" t="s">
        <v>241</v>
      </c>
      <c r="C13" s="516" t="s">
        <v>31</v>
      </c>
      <c r="D13" s="1414"/>
      <c r="E13" s="140">
        <v>20</v>
      </c>
      <c r="F13" s="508"/>
      <c r="G13" s="123"/>
      <c r="H13" s="441" t="s">
        <v>242</v>
      </c>
      <c r="K13" s="464"/>
      <c r="M13" s="459"/>
      <c r="N13" s="462"/>
    </row>
    <row r="14" spans="1:16" s="135" customFormat="1" ht="34.5" customHeight="1" thickBot="1">
      <c r="A14" s="1401" t="s">
        <v>20</v>
      </c>
      <c r="B14" s="1402"/>
      <c r="C14" s="1403"/>
      <c r="D14" s="169">
        <f>IF(SUM(D4:D13)&lt;70,SUM(D4:D13),70)</f>
        <v>0</v>
      </c>
      <c r="F14" s="517"/>
      <c r="G14" s="518"/>
      <c r="H14" s="463" t="str">
        <f>IF(AND(I4="ERFÜLLT",G10=I33,G11=I51),"ERFÜLLT","nicht erfüllt")</f>
        <v>nicht erfüllt</v>
      </c>
      <c r="K14" s="462"/>
      <c r="M14" s="465"/>
      <c r="N14" s="462"/>
    </row>
    <row r="15" spans="1:16" ht="29.25" customHeight="1"/>
    <row r="16" spans="1:16" ht="26.5" thickBot="1">
      <c r="I16" s="466" t="s">
        <v>243</v>
      </c>
    </row>
    <row r="17" spans="1:11" ht="13.5" thickBot="1">
      <c r="A17" s="1404" t="s">
        <v>222</v>
      </c>
      <c r="B17" s="1405"/>
      <c r="C17" s="1406"/>
      <c r="D17" s="467" t="s">
        <v>244</v>
      </c>
      <c r="E17" s="173"/>
      <c r="F17" s="468" t="s">
        <v>245</v>
      </c>
      <c r="G17" s="467" t="s">
        <v>246</v>
      </c>
      <c r="H17" s="469" t="s">
        <v>247</v>
      </c>
      <c r="I17" s="273" t="s">
        <v>225</v>
      </c>
      <c r="J17" s="470" t="s">
        <v>248</v>
      </c>
      <c r="K17" s="470" t="s">
        <v>227</v>
      </c>
    </row>
    <row r="18" spans="1:11" ht="12.75" customHeight="1">
      <c r="A18" s="471" t="s">
        <v>249</v>
      </c>
      <c r="B18" s="472" t="s">
        <v>250</v>
      </c>
      <c r="C18" s="473" t="str">
        <f>IF(ISBLANK(Nebenrechnungen!D43),"",Nebenrechnungen!D43)</f>
        <v/>
      </c>
      <c r="D18" s="473" t="str">
        <f>IF(ISBLANK(Nebenrechnungen!E43),"",Nebenrechnungen!E43)</f>
        <v/>
      </c>
      <c r="E18" s="473" t="e">
        <f>IF(ISBLANK(#REF!),"",#REF!)</f>
        <v>#REF!</v>
      </c>
      <c r="F18" s="737" t="str">
        <f>IF(ISBLANK(Nebenrechnungen!F43),"",Nebenrechnungen!F43)</f>
        <v/>
      </c>
      <c r="G18" s="473" t="str">
        <f>IF(ISBLANK(Nebenrechnungen!G43),"",Nebenrechnungen!G43)</f>
        <v/>
      </c>
      <c r="H18" s="474">
        <f>Nebenrechnungen!H43</f>
        <v>0</v>
      </c>
      <c r="I18" s="458" t="str">
        <f>IF(AND(F18&gt;0,G18&lt;=4),"ERFÜLLT",IF(F18=0," ","nicht erfüllt"))</f>
        <v>nicht erfüllt</v>
      </c>
      <c r="J18" s="458" t="str">
        <f>IF(AND(F18&gt;0,G18&lt;4),"ERFÜLLT",IF(F18=0," ","nicht erfüllt"))</f>
        <v>nicht erfüllt</v>
      </c>
      <c r="K18" s="458" t="str">
        <f>IF(AND(F18&gt;0,G18&lt;4),"ERFÜLLT",IF(F18=0," ","nicht erfüllt"))</f>
        <v>nicht erfüllt</v>
      </c>
    </row>
    <row r="19" spans="1:11" ht="12.75" customHeight="1">
      <c r="A19" s="471" t="s">
        <v>251</v>
      </c>
      <c r="B19" s="472" t="s">
        <v>250</v>
      </c>
      <c r="C19" s="473" t="str">
        <f>IF(ISBLANK(Nebenrechnungen!D44),"",Nebenrechnungen!D44)</f>
        <v/>
      </c>
      <c r="D19" s="473" t="str">
        <f>IF(ISBLANK(Nebenrechnungen!E44),"",Nebenrechnungen!E44)</f>
        <v/>
      </c>
      <c r="E19" s="473" t="e">
        <f>IF(ISBLANK(#REF!),"",#REF!)</f>
        <v>#REF!</v>
      </c>
      <c r="F19" s="737" t="str">
        <f>IF(ISBLANK(Nebenrechnungen!F44),"",Nebenrechnungen!F44)</f>
        <v/>
      </c>
      <c r="G19" s="473" t="str">
        <f>IF(ISBLANK(Nebenrechnungen!G44),"",Nebenrechnungen!G44)</f>
        <v/>
      </c>
      <c r="H19" s="474">
        <f>Nebenrechnungen!H44</f>
        <v>0</v>
      </c>
      <c r="I19" s="458" t="str">
        <f t="shared" ref="I19:I32" si="0">IF(AND(F19&gt;0,G19&lt;=4),"ERFÜLLT",IF(F19=0," ","nicht erfüllt"))</f>
        <v>nicht erfüllt</v>
      </c>
      <c r="J19" s="458" t="str">
        <f t="shared" ref="J19:J32" si="1">IF(AND(F19&gt;0,G19&lt;4),"ERFÜLLT",IF(F19=0," ","nicht erfüllt"))</f>
        <v>nicht erfüllt</v>
      </c>
      <c r="K19" s="458" t="str">
        <f t="shared" ref="K19:K32" si="2">IF(AND(F19&gt;0,G19&lt;4),"ERFÜLLT",IF(F19=0," ","nicht erfüllt"))</f>
        <v>nicht erfüllt</v>
      </c>
    </row>
    <row r="20" spans="1:11" ht="12.75" customHeight="1">
      <c r="A20" s="471" t="s">
        <v>252</v>
      </c>
      <c r="B20" s="472" t="s">
        <v>250</v>
      </c>
      <c r="C20" s="473" t="str">
        <f>IF(ISBLANK(Nebenrechnungen!D45),"",Nebenrechnungen!D45)</f>
        <v/>
      </c>
      <c r="D20" s="473" t="str">
        <f>IF(ISBLANK(Nebenrechnungen!E45),"",Nebenrechnungen!E45)</f>
        <v/>
      </c>
      <c r="E20" s="473" t="e">
        <f>IF(ISBLANK(#REF!),"",#REF!)</f>
        <v>#REF!</v>
      </c>
      <c r="F20" s="737" t="str">
        <f>IF(ISBLANK(Nebenrechnungen!F45),"",Nebenrechnungen!F45)</f>
        <v/>
      </c>
      <c r="G20" s="473" t="str">
        <f>IF(ISBLANK(Nebenrechnungen!G45),"",Nebenrechnungen!G45)</f>
        <v/>
      </c>
      <c r="H20" s="474">
        <f>Nebenrechnungen!H45</f>
        <v>0</v>
      </c>
      <c r="I20" s="458" t="str">
        <f t="shared" si="0"/>
        <v>nicht erfüllt</v>
      </c>
      <c r="J20" s="458" t="str">
        <f t="shared" si="1"/>
        <v>nicht erfüllt</v>
      </c>
      <c r="K20" s="458" t="str">
        <f t="shared" si="2"/>
        <v>nicht erfüllt</v>
      </c>
    </row>
    <row r="21" spans="1:11" ht="12.75" customHeight="1">
      <c r="A21" s="471" t="s">
        <v>253</v>
      </c>
      <c r="B21" s="472" t="s">
        <v>250</v>
      </c>
      <c r="C21" s="473" t="str">
        <f>IF(ISBLANK(Nebenrechnungen!D46),"",Nebenrechnungen!D46)</f>
        <v/>
      </c>
      <c r="D21" s="473" t="str">
        <f>IF(ISBLANK(Nebenrechnungen!E46),"",Nebenrechnungen!E46)</f>
        <v/>
      </c>
      <c r="E21" s="473" t="e">
        <f>IF(ISBLANK(#REF!),"",#REF!)</f>
        <v>#REF!</v>
      </c>
      <c r="F21" s="737" t="str">
        <f>IF(ISBLANK(Nebenrechnungen!F46),"",Nebenrechnungen!F46)</f>
        <v/>
      </c>
      <c r="G21" s="473" t="str">
        <f>IF(ISBLANK(Nebenrechnungen!G46),"",Nebenrechnungen!G46)</f>
        <v/>
      </c>
      <c r="H21" s="474">
        <f>Nebenrechnungen!H46</f>
        <v>0</v>
      </c>
      <c r="I21" s="458" t="str">
        <f t="shared" si="0"/>
        <v>nicht erfüllt</v>
      </c>
      <c r="J21" s="458" t="str">
        <f t="shared" si="1"/>
        <v>nicht erfüllt</v>
      </c>
      <c r="K21" s="458" t="str">
        <f t="shared" si="2"/>
        <v>nicht erfüllt</v>
      </c>
    </row>
    <row r="22" spans="1:11" ht="12.75" customHeight="1">
      <c r="A22" s="471" t="s">
        <v>254</v>
      </c>
      <c r="B22" s="472" t="s">
        <v>250</v>
      </c>
      <c r="C22" s="473" t="str">
        <f>IF(ISBLANK(Nebenrechnungen!D47),"",Nebenrechnungen!D47)</f>
        <v/>
      </c>
      <c r="D22" s="473" t="str">
        <f>IF(ISBLANK(Nebenrechnungen!E47),"",Nebenrechnungen!E47)</f>
        <v/>
      </c>
      <c r="E22" s="473" t="e">
        <f>IF(ISBLANK(#REF!),"",#REF!)</f>
        <v>#REF!</v>
      </c>
      <c r="F22" s="737" t="str">
        <f>IF(ISBLANK(Nebenrechnungen!F47),"",Nebenrechnungen!F47)</f>
        <v/>
      </c>
      <c r="G22" s="473" t="str">
        <f>IF(ISBLANK(Nebenrechnungen!G47),"",Nebenrechnungen!G47)</f>
        <v/>
      </c>
      <c r="H22" s="474">
        <f>Nebenrechnungen!H47</f>
        <v>0</v>
      </c>
      <c r="I22" s="458" t="str">
        <f t="shared" si="0"/>
        <v>nicht erfüllt</v>
      </c>
      <c r="J22" s="458" t="str">
        <f t="shared" si="1"/>
        <v>nicht erfüllt</v>
      </c>
      <c r="K22" s="458" t="str">
        <f t="shared" si="2"/>
        <v>nicht erfüllt</v>
      </c>
    </row>
    <row r="23" spans="1:11" ht="13">
      <c r="A23" s="471" t="s">
        <v>255</v>
      </c>
      <c r="B23" s="472" t="s">
        <v>250</v>
      </c>
      <c r="C23" s="473" t="str">
        <f>IF(ISBLANK(Nebenrechnungen!D48),"",Nebenrechnungen!D48)</f>
        <v/>
      </c>
      <c r="D23" s="473" t="str">
        <f>IF(ISBLANK(Nebenrechnungen!E48),"",Nebenrechnungen!E48)</f>
        <v/>
      </c>
      <c r="E23" s="473" t="e">
        <f>IF(ISBLANK(#REF!),"",#REF!)</f>
        <v>#REF!</v>
      </c>
      <c r="F23" s="737" t="str">
        <f>IF(ISBLANK(Nebenrechnungen!F48),"",Nebenrechnungen!F48)</f>
        <v/>
      </c>
      <c r="G23" s="473" t="str">
        <f>IF(ISBLANK(Nebenrechnungen!G48),"",Nebenrechnungen!G48)</f>
        <v/>
      </c>
      <c r="H23" s="474">
        <f>Nebenrechnungen!H48</f>
        <v>0</v>
      </c>
      <c r="I23" s="458" t="str">
        <f t="shared" si="0"/>
        <v>nicht erfüllt</v>
      </c>
      <c r="J23" s="458" t="str">
        <f t="shared" si="1"/>
        <v>nicht erfüllt</v>
      </c>
      <c r="K23" s="458" t="str">
        <f t="shared" si="2"/>
        <v>nicht erfüllt</v>
      </c>
    </row>
    <row r="24" spans="1:11" ht="13">
      <c r="A24" s="471" t="s">
        <v>256</v>
      </c>
      <c r="B24" s="472" t="s">
        <v>250</v>
      </c>
      <c r="C24" s="473" t="str">
        <f>IF(ISBLANK(Nebenrechnungen!D49),"",Nebenrechnungen!D49)</f>
        <v/>
      </c>
      <c r="D24" s="473" t="str">
        <f>IF(ISBLANK(Nebenrechnungen!E49),"",Nebenrechnungen!E49)</f>
        <v/>
      </c>
      <c r="E24" s="473" t="e">
        <f>IF(ISBLANK(#REF!),"",#REF!)</f>
        <v>#REF!</v>
      </c>
      <c r="F24" s="737" t="str">
        <f>IF(ISBLANK(Nebenrechnungen!F49),"",Nebenrechnungen!F49)</f>
        <v/>
      </c>
      <c r="G24" s="473" t="str">
        <f>IF(ISBLANK(Nebenrechnungen!G49),"",Nebenrechnungen!G49)</f>
        <v/>
      </c>
      <c r="H24" s="474">
        <f>Nebenrechnungen!H49</f>
        <v>0</v>
      </c>
      <c r="I24" s="458" t="str">
        <f t="shared" si="0"/>
        <v>nicht erfüllt</v>
      </c>
      <c r="J24" s="458" t="str">
        <f t="shared" si="1"/>
        <v>nicht erfüllt</v>
      </c>
      <c r="K24" s="458" t="str">
        <f t="shared" si="2"/>
        <v>nicht erfüllt</v>
      </c>
    </row>
    <row r="25" spans="1:11" ht="13">
      <c r="A25" s="471" t="s">
        <v>257</v>
      </c>
      <c r="B25" s="472" t="s">
        <v>250</v>
      </c>
      <c r="C25" s="473" t="str">
        <f>IF(ISBLANK(Nebenrechnungen!D50),"",Nebenrechnungen!D50)</f>
        <v/>
      </c>
      <c r="D25" s="473" t="str">
        <f>IF(ISBLANK(Nebenrechnungen!E50),"",Nebenrechnungen!E50)</f>
        <v/>
      </c>
      <c r="E25" s="473" t="e">
        <f>IF(ISBLANK(#REF!),"",#REF!)</f>
        <v>#REF!</v>
      </c>
      <c r="F25" s="737" t="str">
        <f>IF(ISBLANK(Nebenrechnungen!F50),"",Nebenrechnungen!F50)</f>
        <v/>
      </c>
      <c r="G25" s="473" t="str">
        <f>IF(ISBLANK(Nebenrechnungen!G50),"",Nebenrechnungen!G50)</f>
        <v/>
      </c>
      <c r="H25" s="474">
        <f>Nebenrechnungen!H50</f>
        <v>0</v>
      </c>
      <c r="I25" s="458" t="str">
        <f t="shared" si="0"/>
        <v>nicht erfüllt</v>
      </c>
      <c r="J25" s="458" t="str">
        <f t="shared" si="1"/>
        <v>nicht erfüllt</v>
      </c>
      <c r="K25" s="458" t="str">
        <f t="shared" si="2"/>
        <v>nicht erfüllt</v>
      </c>
    </row>
    <row r="26" spans="1:11" ht="13">
      <c r="A26" s="471" t="s">
        <v>258</v>
      </c>
      <c r="B26" s="472" t="s">
        <v>250</v>
      </c>
      <c r="C26" s="473" t="str">
        <f>IF(ISBLANK(Nebenrechnungen!D51),"",Nebenrechnungen!D51)</f>
        <v/>
      </c>
      <c r="D26" s="473" t="str">
        <f>IF(ISBLANK(Nebenrechnungen!E51),"",Nebenrechnungen!E51)</f>
        <v/>
      </c>
      <c r="E26" s="473" t="e">
        <f>IF(ISBLANK(#REF!),"",#REF!)</f>
        <v>#REF!</v>
      </c>
      <c r="F26" s="737" t="str">
        <f>IF(ISBLANK(Nebenrechnungen!F51),"",Nebenrechnungen!F51)</f>
        <v/>
      </c>
      <c r="G26" s="473" t="str">
        <f>IF(ISBLANK(Nebenrechnungen!G51),"",Nebenrechnungen!G51)</f>
        <v/>
      </c>
      <c r="H26" s="474">
        <f>Nebenrechnungen!H51</f>
        <v>0</v>
      </c>
      <c r="I26" s="458" t="str">
        <f t="shared" si="0"/>
        <v>nicht erfüllt</v>
      </c>
      <c r="J26" s="458" t="str">
        <f t="shared" si="1"/>
        <v>nicht erfüllt</v>
      </c>
      <c r="K26" s="458" t="str">
        <f t="shared" si="2"/>
        <v>nicht erfüllt</v>
      </c>
    </row>
    <row r="27" spans="1:11" ht="13">
      <c r="A27" s="471" t="s">
        <v>259</v>
      </c>
      <c r="B27" s="472" t="s">
        <v>250</v>
      </c>
      <c r="C27" s="473" t="str">
        <f>IF(ISBLANK(Nebenrechnungen!D52),"",Nebenrechnungen!D52)</f>
        <v/>
      </c>
      <c r="D27" s="473" t="str">
        <f>IF(ISBLANK(Nebenrechnungen!E52),"",Nebenrechnungen!E52)</f>
        <v/>
      </c>
      <c r="E27" s="473" t="e">
        <f>IF(ISBLANK(#REF!),"",#REF!)</f>
        <v>#REF!</v>
      </c>
      <c r="F27" s="737" t="str">
        <f>IF(ISBLANK(Nebenrechnungen!F52),"",Nebenrechnungen!F52)</f>
        <v/>
      </c>
      <c r="G27" s="473" t="str">
        <f>IF(ISBLANK(Nebenrechnungen!G52),"",Nebenrechnungen!G52)</f>
        <v/>
      </c>
      <c r="H27" s="474">
        <f>Nebenrechnungen!H52</f>
        <v>0</v>
      </c>
      <c r="I27" s="458" t="str">
        <f t="shared" si="0"/>
        <v>nicht erfüllt</v>
      </c>
      <c r="J27" s="458" t="str">
        <f t="shared" si="1"/>
        <v>nicht erfüllt</v>
      </c>
      <c r="K27" s="458" t="str">
        <f t="shared" si="2"/>
        <v>nicht erfüllt</v>
      </c>
    </row>
    <row r="28" spans="1:11" ht="13">
      <c r="A28" s="471" t="s">
        <v>260</v>
      </c>
      <c r="B28" s="472" t="s">
        <v>250</v>
      </c>
      <c r="C28" s="473" t="str">
        <f>IF(ISBLANK(Nebenrechnungen!D53),"",Nebenrechnungen!D53)</f>
        <v/>
      </c>
      <c r="D28" s="473" t="str">
        <f>IF(ISBLANK(Nebenrechnungen!E53),"",Nebenrechnungen!E53)</f>
        <v/>
      </c>
      <c r="E28" s="473" t="e">
        <f>IF(ISBLANK(#REF!),"",#REF!)</f>
        <v>#REF!</v>
      </c>
      <c r="F28" s="737" t="str">
        <f>IF(ISBLANK(Nebenrechnungen!F53),"",Nebenrechnungen!F53)</f>
        <v/>
      </c>
      <c r="G28" s="473" t="str">
        <f>IF(ISBLANK(Nebenrechnungen!G53),"",Nebenrechnungen!G53)</f>
        <v/>
      </c>
      <c r="H28" s="474">
        <f>Nebenrechnungen!H53</f>
        <v>0</v>
      </c>
      <c r="I28" s="458" t="str">
        <f t="shared" si="0"/>
        <v>nicht erfüllt</v>
      </c>
      <c r="J28" s="458" t="str">
        <f t="shared" si="1"/>
        <v>nicht erfüllt</v>
      </c>
      <c r="K28" s="458" t="str">
        <f t="shared" si="2"/>
        <v>nicht erfüllt</v>
      </c>
    </row>
    <row r="29" spans="1:11" ht="13">
      <c r="A29" s="471" t="s">
        <v>261</v>
      </c>
      <c r="B29" s="472" t="s">
        <v>250</v>
      </c>
      <c r="C29" s="473" t="str">
        <f>IF(ISBLANK(Nebenrechnungen!D54),"",Nebenrechnungen!D54)</f>
        <v/>
      </c>
      <c r="D29" s="473" t="str">
        <f>IF(ISBLANK(Nebenrechnungen!E54),"",Nebenrechnungen!E54)</f>
        <v/>
      </c>
      <c r="E29" s="473" t="e">
        <f>IF(ISBLANK(#REF!),"",#REF!)</f>
        <v>#REF!</v>
      </c>
      <c r="F29" s="737" t="str">
        <f>IF(ISBLANK(Nebenrechnungen!F54),"",Nebenrechnungen!F54)</f>
        <v/>
      </c>
      <c r="G29" s="473" t="str">
        <f>IF(ISBLANK(Nebenrechnungen!G54),"",Nebenrechnungen!G54)</f>
        <v/>
      </c>
      <c r="H29" s="474">
        <f>Nebenrechnungen!H54</f>
        <v>0</v>
      </c>
      <c r="I29" s="458" t="str">
        <f t="shared" si="0"/>
        <v>nicht erfüllt</v>
      </c>
      <c r="J29" s="458" t="str">
        <f t="shared" si="1"/>
        <v>nicht erfüllt</v>
      </c>
      <c r="K29" s="458" t="str">
        <f t="shared" si="2"/>
        <v>nicht erfüllt</v>
      </c>
    </row>
    <row r="30" spans="1:11" ht="13">
      <c r="A30" s="471" t="s">
        <v>262</v>
      </c>
      <c r="B30" s="472" t="s">
        <v>250</v>
      </c>
      <c r="C30" s="473" t="str">
        <f>IF(ISBLANK(Nebenrechnungen!D55),"",Nebenrechnungen!D55)</f>
        <v/>
      </c>
      <c r="D30" s="473" t="str">
        <f>IF(ISBLANK(Nebenrechnungen!E55),"",Nebenrechnungen!E55)</f>
        <v/>
      </c>
      <c r="E30" s="473" t="e">
        <f>IF(ISBLANK(#REF!),"",#REF!)</f>
        <v>#REF!</v>
      </c>
      <c r="F30" s="737" t="str">
        <f>IF(ISBLANK(Nebenrechnungen!F55),"",Nebenrechnungen!F55)</f>
        <v/>
      </c>
      <c r="G30" s="473" t="str">
        <f>IF(ISBLANK(Nebenrechnungen!G55),"",Nebenrechnungen!G55)</f>
        <v/>
      </c>
      <c r="H30" s="474">
        <f>Nebenrechnungen!H55</f>
        <v>0</v>
      </c>
      <c r="I30" s="458" t="str">
        <f t="shared" si="0"/>
        <v>nicht erfüllt</v>
      </c>
      <c r="J30" s="458" t="str">
        <f t="shared" si="1"/>
        <v>nicht erfüllt</v>
      </c>
      <c r="K30" s="458" t="str">
        <f t="shared" si="2"/>
        <v>nicht erfüllt</v>
      </c>
    </row>
    <row r="31" spans="1:11" ht="13">
      <c r="A31" s="471" t="s">
        <v>263</v>
      </c>
      <c r="B31" s="472" t="s">
        <v>250</v>
      </c>
      <c r="C31" s="473" t="str">
        <f>IF(ISBLANK(Nebenrechnungen!D56),"",Nebenrechnungen!D56)</f>
        <v/>
      </c>
      <c r="D31" s="473" t="str">
        <f>IF(ISBLANK(Nebenrechnungen!E56),"",Nebenrechnungen!E56)</f>
        <v/>
      </c>
      <c r="E31" s="473" t="e">
        <f>IF(ISBLANK(#REF!),"",#REF!)</f>
        <v>#REF!</v>
      </c>
      <c r="F31" s="737" t="str">
        <f>IF(ISBLANK(Nebenrechnungen!F56),"",Nebenrechnungen!F56)</f>
        <v/>
      </c>
      <c r="G31" s="473" t="str">
        <f>IF(ISBLANK(Nebenrechnungen!G56),"",Nebenrechnungen!G56)</f>
        <v/>
      </c>
      <c r="H31" s="474">
        <f>Nebenrechnungen!H56</f>
        <v>0</v>
      </c>
      <c r="I31" s="458" t="str">
        <f t="shared" si="0"/>
        <v>nicht erfüllt</v>
      </c>
      <c r="J31" s="458" t="str">
        <f t="shared" si="1"/>
        <v>nicht erfüllt</v>
      </c>
      <c r="K31" s="458" t="str">
        <f t="shared" si="2"/>
        <v>nicht erfüllt</v>
      </c>
    </row>
    <row r="32" spans="1:11" ht="13.5" thickBot="1">
      <c r="A32" s="475" t="s">
        <v>264</v>
      </c>
      <c r="B32" s="472" t="s">
        <v>250</v>
      </c>
      <c r="C32" s="473" t="str">
        <f>IF(ISBLANK(Nebenrechnungen!D57),"",Nebenrechnungen!D57)</f>
        <v/>
      </c>
      <c r="D32" s="473" t="str">
        <f>IF(ISBLANK(Nebenrechnungen!E57),"",Nebenrechnungen!E57)</f>
        <v/>
      </c>
      <c r="E32" s="473" t="e">
        <f>IF(ISBLANK(#REF!),"",#REF!)</f>
        <v>#REF!</v>
      </c>
      <c r="F32" s="737" t="str">
        <f>IF(ISBLANK(Nebenrechnungen!F57),"",Nebenrechnungen!F57)</f>
        <v/>
      </c>
      <c r="G32" s="473" t="str">
        <f>IF(ISBLANK(Nebenrechnungen!G57),"",Nebenrechnungen!G57)</f>
        <v/>
      </c>
      <c r="H32" s="474">
        <f>Nebenrechnungen!H57</f>
        <v>0</v>
      </c>
      <c r="I32" s="458" t="str">
        <f t="shared" si="0"/>
        <v>nicht erfüllt</v>
      </c>
      <c r="J32" s="458" t="str">
        <f t="shared" si="1"/>
        <v>nicht erfüllt</v>
      </c>
      <c r="K32" s="458" t="str">
        <f t="shared" si="2"/>
        <v>nicht erfüllt</v>
      </c>
    </row>
    <row r="33" spans="1:11" ht="14.5" thickBot="1">
      <c r="A33" s="1407" t="s">
        <v>20</v>
      </c>
      <c r="B33" s="1408"/>
      <c r="C33" s="1409"/>
      <c r="D33" s="476" t="str">
        <f>IF(SUM(D18:D32)&gt;0,SUM(D18:D32)," ")</f>
        <v xml:space="preserve"> </v>
      </c>
      <c r="E33" s="476" t="e">
        <f t="shared" ref="E33" si="3">IF(SUM(E18:E32)&gt;0,SUM(E18:E32)," ")</f>
        <v>#REF!</v>
      </c>
      <c r="F33" s="738"/>
      <c r="G33" s="478"/>
      <c r="H33" s="479" t="str">
        <f>IF(SUM(H18:H32)&gt;0,SUM(H18:H32)," ")</f>
        <v xml:space="preserve"> </v>
      </c>
      <c r="I33" s="161">
        <f>COUNTIF(I18:I32,"ERFÜLLT")</f>
        <v>0</v>
      </c>
      <c r="J33" s="161">
        <f>COUNTIF(J18:J32,"ERFÜLLT")</f>
        <v>0</v>
      </c>
      <c r="K33" s="161">
        <f>COUNTIF(K18:K32,"ERFÜLLT")</f>
        <v>0</v>
      </c>
    </row>
    <row r="34" spans="1:11" ht="13" thickBot="1"/>
    <row r="35" spans="1:11" ht="13.5" thickBot="1">
      <c r="A35" s="1404" t="s">
        <v>33</v>
      </c>
      <c r="B35" s="1405"/>
      <c r="C35" s="1406"/>
      <c r="D35" s="467" t="s">
        <v>244</v>
      </c>
      <c r="E35" s="173"/>
      <c r="F35" s="468" t="s">
        <v>265</v>
      </c>
      <c r="G35" s="467" t="s">
        <v>246</v>
      </c>
      <c r="H35" s="469" t="s">
        <v>247</v>
      </c>
      <c r="I35" s="273" t="s">
        <v>225</v>
      </c>
      <c r="J35" s="470" t="s">
        <v>248</v>
      </c>
      <c r="K35" s="470" t="s">
        <v>227</v>
      </c>
    </row>
    <row r="36" spans="1:11" ht="13">
      <c r="A36" s="480" t="s">
        <v>249</v>
      </c>
      <c r="B36" s="472" t="s">
        <v>250</v>
      </c>
      <c r="C36" s="473" t="str">
        <f>Nebenrechnungen!D61</f>
        <v xml:space="preserve"> </v>
      </c>
      <c r="D36" s="473" t="str">
        <f>Nebenrechnungen!E61</f>
        <v xml:space="preserve"> </v>
      </c>
      <c r="E36" s="473" t="e">
        <f>#REF!</f>
        <v>#REF!</v>
      </c>
      <c r="F36" s="739" t="str">
        <f>IF(ISBLANK(Nebenrechnungen!F61),"",Nebenrechnungen!F61)</f>
        <v/>
      </c>
      <c r="G36" s="473" t="str">
        <f>Nebenrechnungen!G61</f>
        <v/>
      </c>
      <c r="H36" s="474">
        <f>Nebenrechnungen!H61</f>
        <v>0</v>
      </c>
      <c r="I36" s="458" t="str">
        <f>IF(AND(F36&gt;0,G36&lt;=4),"ERFÜLLT",IF(F36=0," ","nicht erfüllt"))</f>
        <v>nicht erfüllt</v>
      </c>
      <c r="J36" s="458" t="str">
        <f>IF(AND(F36&gt;0,G36&lt;4),"ERFÜLLT",IF(F36=0," ","nicht erfüllt"))</f>
        <v>nicht erfüllt</v>
      </c>
      <c r="K36" s="458" t="str">
        <f>IF(AND(F36&gt;0,G36&lt;4),"ERFÜLLT",IF(F36=0," ","nicht erfüllt"))</f>
        <v>nicht erfüllt</v>
      </c>
    </row>
    <row r="37" spans="1:11" ht="13">
      <c r="A37" s="480" t="s">
        <v>251</v>
      </c>
      <c r="B37" s="472" t="s">
        <v>250</v>
      </c>
      <c r="C37" s="473" t="str">
        <f>Nebenrechnungen!D62</f>
        <v xml:space="preserve"> </v>
      </c>
      <c r="D37" s="473" t="str">
        <f>Nebenrechnungen!E62</f>
        <v xml:space="preserve"> </v>
      </c>
      <c r="E37" s="473"/>
      <c r="F37" s="739" t="str">
        <f>IF(ISBLANK(Nebenrechnungen!F62),"",Nebenrechnungen!F62)</f>
        <v/>
      </c>
      <c r="G37" s="473" t="str">
        <f>Nebenrechnungen!G62</f>
        <v/>
      </c>
      <c r="H37" s="474">
        <f>Nebenrechnungen!H62</f>
        <v>0</v>
      </c>
      <c r="I37" s="458" t="str">
        <f t="shared" ref="I37:I50" si="4">IF(AND(F37&gt;0,G37&lt;=4),"ERFÜLLT",IF(F37=0," ","nicht erfüllt"))</f>
        <v>nicht erfüllt</v>
      </c>
      <c r="J37" s="458" t="str">
        <f t="shared" ref="J37:J50" si="5">IF(AND(F37&gt;0,G37&lt;4),"ERFÜLLT",IF(F37=0," ","nicht erfüllt"))</f>
        <v>nicht erfüllt</v>
      </c>
      <c r="K37" s="458" t="str">
        <f t="shared" ref="K37:K50" si="6">IF(AND(F37&gt;0,G37&lt;4),"ERFÜLLT",IF(F37=0," ","nicht erfüllt"))</f>
        <v>nicht erfüllt</v>
      </c>
    </row>
    <row r="38" spans="1:11" ht="13">
      <c r="A38" s="480" t="s">
        <v>252</v>
      </c>
      <c r="B38" s="472" t="s">
        <v>250</v>
      </c>
      <c r="C38" s="473" t="str">
        <f>Nebenrechnungen!D63</f>
        <v xml:space="preserve"> </v>
      </c>
      <c r="D38" s="473" t="str">
        <f>Nebenrechnungen!E63</f>
        <v xml:space="preserve"> </v>
      </c>
      <c r="E38" s="473"/>
      <c r="F38" s="739" t="str">
        <f>IF(ISBLANK(Nebenrechnungen!F63),"",Nebenrechnungen!F63)</f>
        <v/>
      </c>
      <c r="G38" s="473" t="str">
        <f>Nebenrechnungen!G63</f>
        <v/>
      </c>
      <c r="H38" s="474">
        <f>Nebenrechnungen!H63</f>
        <v>0</v>
      </c>
      <c r="I38" s="458" t="str">
        <f t="shared" si="4"/>
        <v>nicht erfüllt</v>
      </c>
      <c r="J38" s="458" t="str">
        <f t="shared" si="5"/>
        <v>nicht erfüllt</v>
      </c>
      <c r="K38" s="458" t="str">
        <f t="shared" si="6"/>
        <v>nicht erfüllt</v>
      </c>
    </row>
    <row r="39" spans="1:11" ht="13">
      <c r="A39" s="480" t="s">
        <v>253</v>
      </c>
      <c r="B39" s="472" t="s">
        <v>250</v>
      </c>
      <c r="C39" s="473" t="str">
        <f>Nebenrechnungen!D64</f>
        <v xml:space="preserve"> </v>
      </c>
      <c r="D39" s="473" t="str">
        <f>Nebenrechnungen!E64</f>
        <v xml:space="preserve"> </v>
      </c>
      <c r="E39" s="473"/>
      <c r="F39" s="739" t="str">
        <f>IF(ISBLANK(Nebenrechnungen!F64),"",Nebenrechnungen!F64)</f>
        <v/>
      </c>
      <c r="G39" s="473" t="str">
        <f>Nebenrechnungen!G64</f>
        <v/>
      </c>
      <c r="H39" s="474">
        <f>Nebenrechnungen!H64</f>
        <v>0</v>
      </c>
      <c r="I39" s="458" t="str">
        <f t="shared" si="4"/>
        <v>nicht erfüllt</v>
      </c>
      <c r="J39" s="458" t="str">
        <f t="shared" si="5"/>
        <v>nicht erfüllt</v>
      </c>
      <c r="K39" s="458" t="str">
        <f t="shared" si="6"/>
        <v>nicht erfüllt</v>
      </c>
    </row>
    <row r="40" spans="1:11" ht="13">
      <c r="A40" s="480" t="s">
        <v>254</v>
      </c>
      <c r="B40" s="472" t="s">
        <v>250</v>
      </c>
      <c r="C40" s="473" t="str">
        <f>Nebenrechnungen!D65</f>
        <v xml:space="preserve"> </v>
      </c>
      <c r="D40" s="473" t="str">
        <f>Nebenrechnungen!E65</f>
        <v xml:space="preserve"> </v>
      </c>
      <c r="E40" s="473"/>
      <c r="F40" s="739" t="str">
        <f>IF(ISBLANK(Nebenrechnungen!F65),"",Nebenrechnungen!F65)</f>
        <v/>
      </c>
      <c r="G40" s="473" t="str">
        <f>Nebenrechnungen!G65</f>
        <v/>
      </c>
      <c r="H40" s="474">
        <f>Nebenrechnungen!H65</f>
        <v>0</v>
      </c>
      <c r="I40" s="458" t="str">
        <f t="shared" si="4"/>
        <v>nicht erfüllt</v>
      </c>
      <c r="J40" s="458" t="str">
        <f t="shared" si="5"/>
        <v>nicht erfüllt</v>
      </c>
      <c r="K40" s="458" t="str">
        <f t="shared" si="6"/>
        <v>nicht erfüllt</v>
      </c>
    </row>
    <row r="41" spans="1:11" ht="13">
      <c r="A41" s="480" t="s">
        <v>255</v>
      </c>
      <c r="B41" s="472" t="s">
        <v>250</v>
      </c>
      <c r="C41" s="473" t="str">
        <f>Nebenrechnungen!D66</f>
        <v xml:space="preserve"> </v>
      </c>
      <c r="D41" s="473" t="str">
        <f>Nebenrechnungen!E66</f>
        <v xml:space="preserve"> </v>
      </c>
      <c r="E41" s="473"/>
      <c r="F41" s="739" t="str">
        <f>IF(ISBLANK(Nebenrechnungen!F66),"",Nebenrechnungen!F66)</f>
        <v/>
      </c>
      <c r="G41" s="473" t="str">
        <f>Nebenrechnungen!G66</f>
        <v/>
      </c>
      <c r="H41" s="474">
        <f>Nebenrechnungen!H66</f>
        <v>0</v>
      </c>
      <c r="I41" s="458" t="str">
        <f t="shared" si="4"/>
        <v>nicht erfüllt</v>
      </c>
      <c r="J41" s="458" t="str">
        <f t="shared" si="5"/>
        <v>nicht erfüllt</v>
      </c>
      <c r="K41" s="458" t="str">
        <f t="shared" si="6"/>
        <v>nicht erfüllt</v>
      </c>
    </row>
    <row r="42" spans="1:11" ht="13">
      <c r="A42" s="480" t="s">
        <v>256</v>
      </c>
      <c r="B42" s="472" t="s">
        <v>250</v>
      </c>
      <c r="C42" s="473" t="str">
        <f>Nebenrechnungen!D67</f>
        <v xml:space="preserve"> </v>
      </c>
      <c r="D42" s="473" t="str">
        <f>Nebenrechnungen!E67</f>
        <v xml:space="preserve"> </v>
      </c>
      <c r="E42" s="473"/>
      <c r="F42" s="739" t="str">
        <f>IF(ISBLANK(Nebenrechnungen!F67),"",Nebenrechnungen!F67)</f>
        <v/>
      </c>
      <c r="G42" s="473" t="str">
        <f>Nebenrechnungen!G67</f>
        <v/>
      </c>
      <c r="H42" s="474">
        <f>Nebenrechnungen!H67</f>
        <v>0</v>
      </c>
      <c r="I42" s="458" t="str">
        <f t="shared" si="4"/>
        <v>nicht erfüllt</v>
      </c>
      <c r="J42" s="458" t="str">
        <f t="shared" si="5"/>
        <v>nicht erfüllt</v>
      </c>
      <c r="K42" s="458" t="str">
        <f t="shared" si="6"/>
        <v>nicht erfüllt</v>
      </c>
    </row>
    <row r="43" spans="1:11" ht="13">
      <c r="A43" s="480" t="s">
        <v>257</v>
      </c>
      <c r="B43" s="472" t="s">
        <v>250</v>
      </c>
      <c r="C43" s="473" t="str">
        <f>Nebenrechnungen!D68</f>
        <v xml:space="preserve"> </v>
      </c>
      <c r="D43" s="473" t="str">
        <f>Nebenrechnungen!E68</f>
        <v xml:space="preserve"> </v>
      </c>
      <c r="E43" s="473"/>
      <c r="F43" s="739" t="str">
        <f>IF(ISBLANK(Nebenrechnungen!F68),"",Nebenrechnungen!F68)</f>
        <v/>
      </c>
      <c r="G43" s="473" t="str">
        <f>Nebenrechnungen!G68</f>
        <v/>
      </c>
      <c r="H43" s="474">
        <f>Nebenrechnungen!H68</f>
        <v>0</v>
      </c>
      <c r="I43" s="458" t="str">
        <f t="shared" si="4"/>
        <v>nicht erfüllt</v>
      </c>
      <c r="J43" s="458" t="str">
        <f t="shared" si="5"/>
        <v>nicht erfüllt</v>
      </c>
      <c r="K43" s="458" t="str">
        <f t="shared" si="6"/>
        <v>nicht erfüllt</v>
      </c>
    </row>
    <row r="44" spans="1:11" ht="13">
      <c r="A44" s="480" t="s">
        <v>258</v>
      </c>
      <c r="B44" s="472" t="s">
        <v>250</v>
      </c>
      <c r="C44" s="473" t="str">
        <f>Nebenrechnungen!D69</f>
        <v xml:space="preserve"> </v>
      </c>
      <c r="D44" s="473" t="str">
        <f>Nebenrechnungen!E69</f>
        <v xml:space="preserve"> </v>
      </c>
      <c r="E44" s="473"/>
      <c r="F44" s="739" t="str">
        <f>IF(ISBLANK(Nebenrechnungen!F69),"",Nebenrechnungen!F69)</f>
        <v/>
      </c>
      <c r="G44" s="473" t="str">
        <f>Nebenrechnungen!G69</f>
        <v/>
      </c>
      <c r="H44" s="474">
        <f>Nebenrechnungen!H69</f>
        <v>0</v>
      </c>
      <c r="I44" s="458" t="str">
        <f t="shared" si="4"/>
        <v>nicht erfüllt</v>
      </c>
      <c r="J44" s="458" t="str">
        <f t="shared" si="5"/>
        <v>nicht erfüllt</v>
      </c>
      <c r="K44" s="458" t="str">
        <f t="shared" si="6"/>
        <v>nicht erfüllt</v>
      </c>
    </row>
    <row r="45" spans="1:11" ht="13">
      <c r="A45" s="480" t="s">
        <v>259</v>
      </c>
      <c r="B45" s="472" t="s">
        <v>250</v>
      </c>
      <c r="C45" s="473" t="str">
        <f>Nebenrechnungen!D70</f>
        <v xml:space="preserve"> </v>
      </c>
      <c r="D45" s="473" t="str">
        <f>Nebenrechnungen!E70</f>
        <v xml:space="preserve"> </v>
      </c>
      <c r="E45" s="473"/>
      <c r="F45" s="739" t="str">
        <f>IF(ISBLANK(Nebenrechnungen!F70),"",Nebenrechnungen!F70)</f>
        <v/>
      </c>
      <c r="G45" s="473" t="str">
        <f>Nebenrechnungen!G70</f>
        <v/>
      </c>
      <c r="H45" s="474">
        <f>Nebenrechnungen!H70</f>
        <v>0</v>
      </c>
      <c r="I45" s="458" t="str">
        <f t="shared" si="4"/>
        <v>nicht erfüllt</v>
      </c>
      <c r="J45" s="458" t="str">
        <f t="shared" si="5"/>
        <v>nicht erfüllt</v>
      </c>
      <c r="K45" s="458" t="str">
        <f t="shared" si="6"/>
        <v>nicht erfüllt</v>
      </c>
    </row>
    <row r="46" spans="1:11" ht="13">
      <c r="A46" s="480" t="s">
        <v>260</v>
      </c>
      <c r="B46" s="472" t="s">
        <v>250</v>
      </c>
      <c r="C46" s="473" t="str">
        <f>Nebenrechnungen!D71</f>
        <v xml:space="preserve"> </v>
      </c>
      <c r="D46" s="473" t="str">
        <f>Nebenrechnungen!E71</f>
        <v xml:space="preserve"> </v>
      </c>
      <c r="E46" s="473"/>
      <c r="F46" s="739" t="str">
        <f>IF(ISBLANK(Nebenrechnungen!F71),"",Nebenrechnungen!F71)</f>
        <v/>
      </c>
      <c r="G46" s="473" t="str">
        <f>Nebenrechnungen!G71</f>
        <v/>
      </c>
      <c r="H46" s="474">
        <f>Nebenrechnungen!H71</f>
        <v>0</v>
      </c>
      <c r="I46" s="458" t="str">
        <f t="shared" si="4"/>
        <v>nicht erfüllt</v>
      </c>
      <c r="J46" s="458" t="str">
        <f t="shared" si="5"/>
        <v>nicht erfüllt</v>
      </c>
      <c r="K46" s="458" t="str">
        <f t="shared" si="6"/>
        <v>nicht erfüllt</v>
      </c>
    </row>
    <row r="47" spans="1:11" ht="13">
      <c r="A47" s="480" t="s">
        <v>261</v>
      </c>
      <c r="B47" s="472" t="s">
        <v>250</v>
      </c>
      <c r="C47" s="473" t="str">
        <f>Nebenrechnungen!D72</f>
        <v xml:space="preserve"> </v>
      </c>
      <c r="D47" s="473" t="str">
        <f>Nebenrechnungen!E72</f>
        <v xml:space="preserve"> </v>
      </c>
      <c r="E47" s="473"/>
      <c r="F47" s="739" t="str">
        <f>IF(ISBLANK(Nebenrechnungen!F72),"",Nebenrechnungen!F72)</f>
        <v/>
      </c>
      <c r="G47" s="473" t="str">
        <f>Nebenrechnungen!G72</f>
        <v/>
      </c>
      <c r="H47" s="474">
        <f>Nebenrechnungen!H72</f>
        <v>0</v>
      </c>
      <c r="I47" s="458" t="str">
        <f t="shared" si="4"/>
        <v>nicht erfüllt</v>
      </c>
      <c r="J47" s="458" t="str">
        <f t="shared" si="5"/>
        <v>nicht erfüllt</v>
      </c>
      <c r="K47" s="458" t="str">
        <f t="shared" si="6"/>
        <v>nicht erfüllt</v>
      </c>
    </row>
    <row r="48" spans="1:11" ht="13">
      <c r="A48" s="480" t="s">
        <v>262</v>
      </c>
      <c r="B48" s="472" t="s">
        <v>250</v>
      </c>
      <c r="C48" s="473" t="str">
        <f>Nebenrechnungen!D73</f>
        <v xml:space="preserve"> </v>
      </c>
      <c r="D48" s="473" t="str">
        <f>Nebenrechnungen!E73</f>
        <v xml:space="preserve"> </v>
      </c>
      <c r="E48" s="473"/>
      <c r="F48" s="739" t="str">
        <f>IF(ISBLANK(Nebenrechnungen!F73),"",Nebenrechnungen!F73)</f>
        <v/>
      </c>
      <c r="G48" s="473" t="str">
        <f>Nebenrechnungen!G73</f>
        <v/>
      </c>
      <c r="H48" s="474">
        <f>Nebenrechnungen!H73</f>
        <v>0</v>
      </c>
      <c r="I48" s="458" t="str">
        <f t="shared" si="4"/>
        <v>nicht erfüllt</v>
      </c>
      <c r="J48" s="458" t="str">
        <f t="shared" si="5"/>
        <v>nicht erfüllt</v>
      </c>
      <c r="K48" s="458" t="str">
        <f t="shared" si="6"/>
        <v>nicht erfüllt</v>
      </c>
    </row>
    <row r="49" spans="1:11" ht="13">
      <c r="A49" s="480" t="s">
        <v>263</v>
      </c>
      <c r="B49" s="472" t="s">
        <v>250</v>
      </c>
      <c r="C49" s="473" t="str">
        <f>Nebenrechnungen!D74</f>
        <v xml:space="preserve"> </v>
      </c>
      <c r="D49" s="473" t="str">
        <f>Nebenrechnungen!E74</f>
        <v xml:space="preserve"> </v>
      </c>
      <c r="E49" s="473"/>
      <c r="F49" s="739" t="str">
        <f>IF(ISBLANK(Nebenrechnungen!F74),"",Nebenrechnungen!F74)</f>
        <v/>
      </c>
      <c r="G49" s="473" t="str">
        <f>Nebenrechnungen!G74</f>
        <v/>
      </c>
      <c r="H49" s="474">
        <f>Nebenrechnungen!H74</f>
        <v>0</v>
      </c>
      <c r="I49" s="458" t="str">
        <f t="shared" si="4"/>
        <v>nicht erfüllt</v>
      </c>
      <c r="J49" s="458" t="str">
        <f t="shared" si="5"/>
        <v>nicht erfüllt</v>
      </c>
      <c r="K49" s="458" t="str">
        <f t="shared" si="6"/>
        <v>nicht erfüllt</v>
      </c>
    </row>
    <row r="50" spans="1:11" ht="13.5" thickBot="1">
      <c r="A50" s="480" t="s">
        <v>264</v>
      </c>
      <c r="B50" s="472" t="s">
        <v>250</v>
      </c>
      <c r="C50" s="473" t="str">
        <f>Nebenrechnungen!D75</f>
        <v xml:space="preserve"> </v>
      </c>
      <c r="D50" s="473" t="str">
        <f>Nebenrechnungen!E75</f>
        <v xml:space="preserve"> </v>
      </c>
      <c r="E50" s="473"/>
      <c r="F50" s="739" t="str">
        <f>IF(ISBLANK(Nebenrechnungen!F75),"",Nebenrechnungen!F75)</f>
        <v/>
      </c>
      <c r="G50" s="473" t="str">
        <f>Nebenrechnungen!G75</f>
        <v/>
      </c>
      <c r="H50" s="474">
        <f>Nebenrechnungen!H75</f>
        <v>0</v>
      </c>
      <c r="I50" s="458" t="str">
        <f t="shared" si="4"/>
        <v>nicht erfüllt</v>
      </c>
      <c r="J50" s="458" t="str">
        <f t="shared" si="5"/>
        <v>nicht erfüllt</v>
      </c>
      <c r="K50" s="458" t="str">
        <f t="shared" si="6"/>
        <v>nicht erfüllt</v>
      </c>
    </row>
    <row r="51" spans="1:11" ht="14.5" thickBot="1">
      <c r="A51" s="1407" t="s">
        <v>20</v>
      </c>
      <c r="B51" s="1408"/>
      <c r="C51" s="1409"/>
      <c r="D51" s="476" t="str">
        <f>IF(SUM(D36:D50)&gt;0,SUM(D36:D50)," ")</f>
        <v xml:space="preserve"> </v>
      </c>
      <c r="E51" s="476"/>
      <c r="F51" s="740"/>
      <c r="G51" s="478"/>
      <c r="H51" s="479" t="str">
        <f>IF(SUM(H36:H50)&gt;0,SUM(H36:H50)," ")</f>
        <v xml:space="preserve"> </v>
      </c>
      <c r="I51" s="161">
        <f>COUNTIF(I36:I50,"ERFÜLLT")</f>
        <v>0</v>
      </c>
      <c r="J51" s="161">
        <f>COUNTIF(J36:J50,"ERFÜLLT")</f>
        <v>0</v>
      </c>
      <c r="K51" s="161">
        <f>COUNTIF(K36:K50,"ERFÜLLT")</f>
        <v>0</v>
      </c>
    </row>
    <row r="55" spans="1:11">
      <c r="I55" s="306"/>
    </row>
  </sheetData>
  <sheetProtection algorithmName="SHA-512" hashValue="d0qEG0z82sSSv7Ey+HBYRCv8qfrRNVKiB7MfSK5bWGYfjqFDtT1Y+RyE7qLwiFY5GU3JVMvkPxEZ3KJMxPZXqQ==" saltValue="ELe6UMxMjqhdYKTPwTpb8Q==" spinCount="100000" sheet="1" objects="1" scenarios="1"/>
  <protectedRanges>
    <protectedRange sqref="F4:F14" name="Bereich1"/>
  </protectedRanges>
  <mergeCells count="10">
    <mergeCell ref="A1:D1"/>
    <mergeCell ref="A3:C3"/>
    <mergeCell ref="D4:D8"/>
    <mergeCell ref="A9:C9"/>
    <mergeCell ref="D10:D13"/>
    <mergeCell ref="A14:C14"/>
    <mergeCell ref="A17:C17"/>
    <mergeCell ref="A33:C33"/>
    <mergeCell ref="A35:C35"/>
    <mergeCell ref="A51:C51"/>
  </mergeCells>
  <phoneticPr fontId="45" type="noConversion"/>
  <printOptions horizontalCentered="1"/>
  <pageMargins left="0.59055118110236227" right="0.59055118110236227" top="0.59055118110236227" bottom="0.59055118110236227" header="0.31496062992125984" footer="0.31496062992125984"/>
  <pageSetup paperSize="9" orientation="landscape" r:id="rId1"/>
  <headerFooter alignWithMargins="0"/>
  <ignoredErrors>
    <ignoredError sqref="F21:F32" formula="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77CE6C-C1DA-4686-9558-2146EDC5101F}">
  <sheetPr codeName="Tabelle20"/>
  <dimension ref="A1:M59"/>
  <sheetViews>
    <sheetView topLeftCell="A14" zoomScale="80" zoomScaleNormal="80" workbookViewId="0">
      <selection activeCell="R38" sqref="R38"/>
    </sheetView>
  </sheetViews>
  <sheetFormatPr baseColWidth="10" defaultColWidth="11.453125" defaultRowHeight="12.5"/>
  <cols>
    <col min="1" max="1" width="64.453125" style="161" bestFit="1" customWidth="1"/>
    <col min="2" max="2" width="15.7265625" style="218" customWidth="1"/>
    <col min="3" max="3" width="30.7265625" style="174" customWidth="1"/>
    <col min="4" max="4" width="3.26953125" style="161" customWidth="1"/>
    <col min="5" max="5" width="12.7265625" style="161" hidden="1" customWidth="1"/>
    <col min="6" max="6" width="33.1796875" style="161" hidden="1" customWidth="1"/>
    <col min="7" max="9" width="11.453125" style="161" hidden="1" customWidth="1"/>
    <col min="10" max="10" width="14.54296875" style="161" hidden="1" customWidth="1"/>
    <col min="11" max="11" width="33.1796875" style="161" hidden="1" customWidth="1"/>
    <col min="12" max="13" width="11.453125" style="161" hidden="1" customWidth="1"/>
    <col min="14" max="16384" width="11.453125" style="161"/>
  </cols>
  <sheetData>
    <row r="1" spans="1:12" ht="28.5" customHeight="1" thickBot="1">
      <c r="A1" s="163" t="s">
        <v>628</v>
      </c>
      <c r="B1" s="163"/>
      <c r="C1" s="170"/>
      <c r="F1" s="442" t="s">
        <v>44</v>
      </c>
      <c r="G1" s="443"/>
      <c r="H1" s="444"/>
    </row>
    <row r="2" spans="1:12" ht="16" thickBot="1">
      <c r="A2" s="171"/>
      <c r="B2" s="171"/>
    </row>
    <row r="3" spans="1:12" ht="16" thickBot="1">
      <c r="A3" s="210" t="s">
        <v>103</v>
      </c>
      <c r="B3" s="203"/>
      <c r="J3" s="1418" t="s">
        <v>44</v>
      </c>
      <c r="K3" s="1419"/>
      <c r="L3" s="1420"/>
    </row>
    <row r="4" spans="1:12" ht="18" customHeight="1" thickBot="1">
      <c r="A4" s="902" t="s">
        <v>19</v>
      </c>
      <c r="B4" s="450" t="s">
        <v>4</v>
      </c>
      <c r="C4" s="281" t="s">
        <v>50</v>
      </c>
      <c r="D4" s="140"/>
      <c r="E4" s="140"/>
      <c r="F4" s="393"/>
      <c r="G4" s="394" t="s">
        <v>147</v>
      </c>
      <c r="H4" s="395" t="s">
        <v>4</v>
      </c>
    </row>
    <row r="5" spans="1:12" ht="24.5" customHeight="1">
      <c r="A5" s="968" t="s">
        <v>266</v>
      </c>
      <c r="B5" s="969"/>
      <c r="C5" s="435"/>
      <c r="D5" s="140"/>
      <c r="E5" s="140"/>
      <c r="F5" s="396" t="s">
        <v>187</v>
      </c>
      <c r="G5" s="397">
        <v>750</v>
      </c>
      <c r="H5" s="398">
        <v>0</v>
      </c>
      <c r="J5" s="393"/>
      <c r="K5" s="394" t="s">
        <v>147</v>
      </c>
      <c r="L5" s="395" t="s">
        <v>4</v>
      </c>
    </row>
    <row r="6" spans="1:12" ht="24.5" customHeight="1">
      <c r="A6" s="268" t="s">
        <v>271</v>
      </c>
      <c r="B6" s="487"/>
      <c r="C6" s="430"/>
      <c r="D6" s="140"/>
      <c r="E6" s="140"/>
      <c r="F6" s="396"/>
      <c r="G6" s="397"/>
      <c r="H6" s="398"/>
      <c r="J6" s="490" t="s">
        <v>189</v>
      </c>
      <c r="K6" s="491">
        <v>20</v>
      </c>
      <c r="L6" s="492">
        <v>0</v>
      </c>
    </row>
    <row r="7" spans="1:12" ht="24.5" customHeight="1" thickBot="1">
      <c r="A7" s="140" t="s">
        <v>268</v>
      </c>
      <c r="B7" s="481"/>
      <c r="C7" s="430"/>
      <c r="D7" s="140"/>
      <c r="E7" s="140"/>
      <c r="F7" s="396" t="s">
        <v>188</v>
      </c>
      <c r="G7" s="397">
        <v>150</v>
      </c>
      <c r="H7" s="483">
        <v>110</v>
      </c>
      <c r="J7" s="493" t="s">
        <v>190</v>
      </c>
      <c r="K7" s="494">
        <v>8</v>
      </c>
      <c r="L7" s="495">
        <v>55</v>
      </c>
    </row>
    <row r="8" spans="1:12" ht="24.5" customHeight="1" thickBot="1">
      <c r="A8" s="482" t="s">
        <v>278</v>
      </c>
      <c r="B8" s="272">
        <f>IF(B5="",0,IF(B5&lt;=G7,H7,IF(B5&gt;G5,0,H7+(H5-H7)/(G5-G7)*(B5-G7))))</f>
        <v>0</v>
      </c>
      <c r="C8" s="291"/>
      <c r="D8" s="140"/>
      <c r="E8" s="140"/>
      <c r="F8" s="396" t="s">
        <v>267</v>
      </c>
      <c r="G8" s="397">
        <v>650</v>
      </c>
      <c r="H8" s="398">
        <v>0</v>
      </c>
    </row>
    <row r="9" spans="1:12" ht="24.5" customHeight="1" thickBot="1">
      <c r="A9" s="486" t="s">
        <v>272</v>
      </c>
      <c r="B9" s="272">
        <f>IF(B6="",0,IF(B6&lt;=K7,L7,IF(B6&gt;K6,0,L6+(L7/(K7-K6)*(B6-K6)))))</f>
        <v>0</v>
      </c>
      <c r="C9" s="140"/>
      <c r="D9" s="140"/>
      <c r="E9" s="140"/>
      <c r="F9" s="396"/>
      <c r="G9" s="397"/>
      <c r="H9" s="398"/>
    </row>
    <row r="10" spans="1:12" ht="24.5" customHeight="1" thickBot="1">
      <c r="A10" s="484" t="s">
        <v>270</v>
      </c>
      <c r="B10" s="485">
        <f>IF(B7="",0,IF(B7&lt;=G10,H10,IF(B7&gt;G8,0,H10+(H8-H10)/(G8-G10)*(B7-G10))))</f>
        <v>0</v>
      </c>
      <c r="C10" s="170"/>
      <c r="D10" s="140"/>
      <c r="E10" s="140"/>
      <c r="F10" s="396" t="s">
        <v>269</v>
      </c>
      <c r="G10" s="397">
        <v>50</v>
      </c>
      <c r="H10" s="483">
        <v>55</v>
      </c>
    </row>
    <row r="11" spans="1:12" ht="24.5" customHeight="1" thickBot="1">
      <c r="A11" s="482" t="s">
        <v>624</v>
      </c>
      <c r="B11" s="272">
        <f>SUM(B8+B10)</f>
        <v>0</v>
      </c>
      <c r="C11" s="140"/>
    </row>
    <row r="12" spans="1:12">
      <c r="C12" s="170"/>
      <c r="D12" s="140"/>
      <c r="E12" s="140"/>
    </row>
    <row r="13" spans="1:12" ht="13" thickBot="1">
      <c r="C13" s="170"/>
      <c r="D13" s="140"/>
      <c r="E13" s="140"/>
    </row>
    <row r="14" spans="1:12" ht="13">
      <c r="F14" s="393"/>
      <c r="G14" s="394" t="s">
        <v>147</v>
      </c>
      <c r="H14" s="395" t="s">
        <v>4</v>
      </c>
    </row>
    <row r="15" spans="1:12" ht="16" thickBot="1">
      <c r="A15" s="210" t="s">
        <v>203</v>
      </c>
      <c r="B15" s="203"/>
      <c r="C15" s="243"/>
      <c r="F15" s="396" t="s">
        <v>187</v>
      </c>
      <c r="G15" s="397">
        <v>750</v>
      </c>
      <c r="H15" s="398">
        <v>0</v>
      </c>
    </row>
    <row r="16" spans="1:12" ht="18.5" customHeight="1" thickBot="1">
      <c r="A16" s="902" t="s">
        <v>19</v>
      </c>
      <c r="B16" s="450" t="s">
        <v>4</v>
      </c>
      <c r="C16" s="970" t="s">
        <v>50</v>
      </c>
      <c r="F16" s="396"/>
      <c r="G16" s="397"/>
      <c r="H16" s="398"/>
      <c r="J16" s="1418" t="s">
        <v>44</v>
      </c>
      <c r="K16" s="1419"/>
      <c r="L16" s="1420"/>
    </row>
    <row r="17" spans="1:12" ht="25" customHeight="1" thickBot="1">
      <c r="A17" s="968" t="s">
        <v>266</v>
      </c>
      <c r="B17" s="496"/>
      <c r="C17" s="436"/>
      <c r="F17" s="396" t="s">
        <v>188</v>
      </c>
      <c r="G17" s="397">
        <v>150</v>
      </c>
      <c r="H17" s="483">
        <v>120</v>
      </c>
    </row>
    <row r="18" spans="1:12" ht="25" customHeight="1">
      <c r="A18" s="266" t="s">
        <v>271</v>
      </c>
      <c r="B18" s="497"/>
      <c r="C18" s="436"/>
      <c r="F18" s="396"/>
      <c r="G18" s="397"/>
      <c r="H18" s="483"/>
      <c r="J18" s="393"/>
      <c r="K18" s="394" t="s">
        <v>147</v>
      </c>
      <c r="L18" s="395" t="s">
        <v>4</v>
      </c>
    </row>
    <row r="19" spans="1:12" ht="25" customHeight="1" thickBot="1">
      <c r="A19" s="140" t="s">
        <v>268</v>
      </c>
      <c r="B19" s="489"/>
      <c r="C19" s="430"/>
      <c r="F19" s="396" t="s">
        <v>267</v>
      </c>
      <c r="G19" s="397">
        <v>650</v>
      </c>
      <c r="H19" s="398">
        <v>0</v>
      </c>
      <c r="J19" s="490" t="s">
        <v>189</v>
      </c>
      <c r="K19" s="491">
        <v>20</v>
      </c>
      <c r="L19" s="492">
        <v>0</v>
      </c>
    </row>
    <row r="20" spans="1:12" ht="25" customHeight="1" thickBot="1">
      <c r="A20" s="482" t="s">
        <v>622</v>
      </c>
      <c r="B20" s="272">
        <f>IF(B17="",0,IF(B17&lt;=G17,H17,IF(B17&gt;G15,0,H17+(H15-H17)/(G15-G17)*(B17-G17))))</f>
        <v>0</v>
      </c>
      <c r="C20" s="286"/>
      <c r="F20" s="396"/>
      <c r="G20" s="397"/>
      <c r="H20" s="398"/>
      <c r="J20" s="493" t="s">
        <v>190</v>
      </c>
      <c r="K20" s="494">
        <v>8</v>
      </c>
      <c r="L20" s="495">
        <v>75</v>
      </c>
    </row>
    <row r="21" spans="1:12" ht="25" customHeight="1" thickBot="1">
      <c r="A21" s="486" t="s">
        <v>273</v>
      </c>
      <c r="B21" s="272">
        <f>IF(B18="",0,IF(B18&lt;=K20,L20,IF(B18&gt;K19,0,L19+(L20/(K20-K19)*(B18-K19)))))</f>
        <v>0</v>
      </c>
      <c r="C21" s="161"/>
      <c r="F21" s="396" t="s">
        <v>269</v>
      </c>
      <c r="G21" s="397">
        <v>50</v>
      </c>
      <c r="H21" s="483">
        <v>65</v>
      </c>
    </row>
    <row r="22" spans="1:12" ht="25" customHeight="1" thickBot="1">
      <c r="A22" s="484" t="s">
        <v>277</v>
      </c>
      <c r="B22" s="485">
        <f>IF(B19="",0,IF(B19&lt;=G21,H21,IF(B19&gt;G19,0,H21+(H19-H21)/(G19-G21)*(B19-G21))))</f>
        <v>0</v>
      </c>
      <c r="C22" s="161"/>
    </row>
    <row r="23" spans="1:12" ht="25" customHeight="1" thickBot="1">
      <c r="A23" s="482" t="s">
        <v>625</v>
      </c>
      <c r="B23" s="272">
        <f>SUM(B20+B22)</f>
        <v>0</v>
      </c>
      <c r="C23" s="161"/>
    </row>
    <row r="24" spans="1:12" ht="13" thickBot="1">
      <c r="A24" s="160"/>
      <c r="C24" s="161"/>
    </row>
    <row r="25" spans="1:12" ht="13">
      <c r="A25" s="160"/>
      <c r="C25" s="161"/>
      <c r="F25" s="393"/>
      <c r="G25" s="394" t="s">
        <v>147</v>
      </c>
      <c r="H25" s="395" t="s">
        <v>4</v>
      </c>
    </row>
    <row r="26" spans="1:12" ht="23.25" customHeight="1" thickBot="1">
      <c r="A26" s="160"/>
      <c r="C26" s="161"/>
      <c r="F26" s="396" t="s">
        <v>187</v>
      </c>
      <c r="G26" s="397">
        <v>750</v>
      </c>
      <c r="H26" s="398">
        <v>0</v>
      </c>
    </row>
    <row r="27" spans="1:12" ht="15" customHeight="1" thickBot="1">
      <c r="A27" s="440" t="s">
        <v>204</v>
      </c>
      <c r="B27" s="285"/>
      <c r="C27" s="289"/>
      <c r="F27" s="396"/>
      <c r="G27" s="397"/>
      <c r="H27" s="398"/>
      <c r="J27" s="1418" t="s">
        <v>44</v>
      </c>
      <c r="K27" s="1419"/>
      <c r="L27" s="1420"/>
    </row>
    <row r="28" spans="1:12" ht="17.5" customHeight="1" thickBot="1">
      <c r="A28" s="902" t="s">
        <v>19</v>
      </c>
      <c r="B28" s="450" t="s">
        <v>4</v>
      </c>
      <c r="C28" s="281" t="s">
        <v>50</v>
      </c>
      <c r="F28" s="396" t="s">
        <v>188</v>
      </c>
      <c r="G28" s="397">
        <v>150</v>
      </c>
      <c r="H28" s="483">
        <v>230</v>
      </c>
      <c r="I28" s="161" t="s">
        <v>487</v>
      </c>
    </row>
    <row r="29" spans="1:12" s="140" customFormat="1" ht="25" customHeight="1">
      <c r="A29" s="968" t="s">
        <v>266</v>
      </c>
      <c r="B29" s="969"/>
      <c r="C29" s="434"/>
      <c r="D29" s="161"/>
      <c r="E29" s="161"/>
      <c r="F29" s="396" t="s">
        <v>267</v>
      </c>
      <c r="G29" s="397">
        <v>650</v>
      </c>
      <c r="H29" s="398">
        <v>0</v>
      </c>
      <c r="J29" s="393"/>
      <c r="K29" s="394" t="s">
        <v>147</v>
      </c>
      <c r="L29" s="395" t="s">
        <v>4</v>
      </c>
    </row>
    <row r="30" spans="1:12" s="140" customFormat="1" ht="25" customHeight="1">
      <c r="A30" s="268" t="s">
        <v>271</v>
      </c>
      <c r="B30" s="487"/>
      <c r="C30" s="436"/>
      <c r="D30" s="161"/>
      <c r="E30" s="161"/>
      <c r="F30" s="396"/>
      <c r="G30" s="397"/>
      <c r="H30" s="398"/>
      <c r="J30" s="490" t="s">
        <v>189</v>
      </c>
      <c r="K30" s="491">
        <v>20</v>
      </c>
      <c r="L30" s="492">
        <v>0</v>
      </c>
    </row>
    <row r="31" spans="1:12" s="140" customFormat="1" ht="25" customHeight="1" thickBot="1">
      <c r="A31" s="140" t="s">
        <v>268</v>
      </c>
      <c r="B31" s="481"/>
      <c r="C31" s="430"/>
      <c r="D31" s="161"/>
      <c r="E31" s="161"/>
      <c r="F31" s="396" t="s">
        <v>269</v>
      </c>
      <c r="G31" s="397">
        <v>50</v>
      </c>
      <c r="H31" s="483">
        <v>85</v>
      </c>
      <c r="J31" s="493" t="s">
        <v>190</v>
      </c>
      <c r="K31" s="494">
        <v>8</v>
      </c>
      <c r="L31" s="495">
        <v>130</v>
      </c>
    </row>
    <row r="32" spans="1:12" s="140" customFormat="1" ht="25" customHeight="1" thickBot="1">
      <c r="A32" s="482" t="s">
        <v>280</v>
      </c>
      <c r="B32" s="272">
        <f>IF(B29="",0,IF(B29&lt;=G28,H28,IF(B29&gt;G26,0,H28+(H26-H28)/(G26-G28)*(B29-G28))))</f>
        <v>0</v>
      </c>
      <c r="C32" s="290"/>
      <c r="D32" s="161"/>
      <c r="E32" s="161"/>
      <c r="F32" s="161"/>
      <c r="G32" s="161"/>
      <c r="H32" s="161"/>
    </row>
    <row r="33" spans="1:12" s="140" customFormat="1" ht="25" customHeight="1" thickBot="1">
      <c r="A33" s="486" t="s">
        <v>275</v>
      </c>
      <c r="B33" s="272">
        <f>IF(B30="",0,IF(B30&lt;=K31,L31,IF(B30&gt;K30,0,L30+(L31/(K31-K30)*(B30-K30)))))</f>
        <v>0</v>
      </c>
      <c r="C33" s="174"/>
      <c r="D33" s="161"/>
      <c r="E33" s="161"/>
      <c r="F33" s="161"/>
      <c r="G33" s="161"/>
      <c r="H33" s="161"/>
    </row>
    <row r="34" spans="1:12" s="140" customFormat="1" ht="25" customHeight="1" thickBot="1">
      <c r="A34" s="484" t="s">
        <v>279</v>
      </c>
      <c r="B34" s="485">
        <f>IF(B31="",0,IF(B31&lt;=G31,H31,IF(B31&gt;G29,0,H31+(H29-H31)/(G29-G31)*(B31-G31))))</f>
        <v>0</v>
      </c>
      <c r="C34" s="174"/>
      <c r="D34" s="161"/>
      <c r="E34" s="161"/>
      <c r="F34" s="161"/>
      <c r="G34" s="161"/>
      <c r="H34" s="161"/>
    </row>
    <row r="35" spans="1:12" ht="25" customHeight="1" thickBot="1">
      <c r="A35" s="482" t="s">
        <v>626</v>
      </c>
      <c r="B35" s="272">
        <f>SUM(B32+B34)</f>
        <v>0</v>
      </c>
      <c r="C35" s="161"/>
      <c r="F35" s="393"/>
      <c r="G35" s="394" t="s">
        <v>147</v>
      </c>
      <c r="H35" s="395" t="s">
        <v>4</v>
      </c>
    </row>
    <row r="36" spans="1:12" ht="18.75" customHeight="1">
      <c r="C36" s="161"/>
      <c r="F36" s="396" t="s">
        <v>187</v>
      </c>
      <c r="G36" s="397">
        <v>750</v>
      </c>
      <c r="H36" s="398">
        <v>0</v>
      </c>
    </row>
    <row r="37" spans="1:12" ht="18.75" customHeight="1" thickBot="1">
      <c r="C37" s="161"/>
      <c r="F37" s="396"/>
      <c r="G37" s="397"/>
      <c r="H37" s="398"/>
    </row>
    <row r="38" spans="1:12" ht="18" customHeight="1" thickBot="1">
      <c r="A38" s="210" t="s">
        <v>105</v>
      </c>
      <c r="B38" s="285"/>
      <c r="F38" s="396"/>
      <c r="G38" s="397"/>
      <c r="H38" s="398"/>
      <c r="J38" s="1418" t="s">
        <v>44</v>
      </c>
      <c r="K38" s="1419"/>
      <c r="L38" s="1420"/>
    </row>
    <row r="39" spans="1:12" s="140" customFormat="1" ht="18" customHeight="1" thickBot="1">
      <c r="A39" s="450" t="s">
        <v>19</v>
      </c>
      <c r="B39" s="971" t="s">
        <v>4</v>
      </c>
      <c r="C39" s="293" t="s">
        <v>50</v>
      </c>
      <c r="D39" s="161"/>
      <c r="E39" s="161"/>
      <c r="F39" s="396" t="s">
        <v>188</v>
      </c>
      <c r="G39" s="397">
        <v>150</v>
      </c>
      <c r="H39" s="483">
        <v>250</v>
      </c>
      <c r="I39" s="140" t="s">
        <v>486</v>
      </c>
      <c r="J39" s="161"/>
      <c r="K39" s="161"/>
      <c r="L39" s="161"/>
    </row>
    <row r="40" spans="1:12" ht="25" customHeight="1" thickBot="1">
      <c r="A40" s="488" t="s">
        <v>266</v>
      </c>
      <c r="B40" s="489"/>
      <c r="C40" s="430"/>
      <c r="F40" s="396" t="s">
        <v>267</v>
      </c>
      <c r="G40" s="397">
        <v>650</v>
      </c>
      <c r="H40" s="398">
        <v>0</v>
      </c>
      <c r="J40" s="393"/>
      <c r="K40" s="394" t="s">
        <v>147</v>
      </c>
      <c r="L40" s="395" t="s">
        <v>4</v>
      </c>
    </row>
    <row r="41" spans="1:12" ht="25" customHeight="1">
      <c r="A41" s="268" t="s">
        <v>271</v>
      </c>
      <c r="B41" s="487"/>
      <c r="C41" s="430"/>
      <c r="F41" s="396"/>
      <c r="G41" s="397"/>
      <c r="H41" s="398"/>
      <c r="J41" s="490" t="s">
        <v>189</v>
      </c>
      <c r="K41" s="491">
        <v>20</v>
      </c>
      <c r="L41" s="492">
        <v>0</v>
      </c>
    </row>
    <row r="42" spans="1:12" ht="25" customHeight="1" thickBot="1">
      <c r="A42" s="140" t="s">
        <v>268</v>
      </c>
      <c r="B42" s="481"/>
      <c r="C42" s="430"/>
      <c r="D42" s="202"/>
      <c r="F42" s="396" t="s">
        <v>269</v>
      </c>
      <c r="G42" s="397">
        <v>50</v>
      </c>
      <c r="H42" s="483">
        <v>95</v>
      </c>
      <c r="J42" s="493" t="s">
        <v>190</v>
      </c>
      <c r="K42" s="494">
        <v>8</v>
      </c>
      <c r="L42" s="495">
        <v>120</v>
      </c>
    </row>
    <row r="43" spans="1:12" ht="25" customHeight="1" thickBot="1">
      <c r="A43" s="482" t="s">
        <v>623</v>
      </c>
      <c r="B43" s="272">
        <f>IF(B40="",0,IF(B40&lt;=G39,H39,IF(B40&gt;G36,0,H39+(H36-H39)/(G36-G39)*(B40-G39))))</f>
        <v>0</v>
      </c>
      <c r="C43" s="290"/>
    </row>
    <row r="44" spans="1:12" ht="25" customHeight="1" thickBot="1">
      <c r="A44" s="486" t="s">
        <v>274</v>
      </c>
      <c r="B44" s="272">
        <f>IF(B41="",0,IF(B41&lt;=K42,L42,IF(B41&gt;K41,0,L41+(L42/(K42-K41)*(B41-K41)))))</f>
        <v>0</v>
      </c>
      <c r="C44" s="972"/>
    </row>
    <row r="45" spans="1:12" ht="25" customHeight="1" thickBot="1">
      <c r="A45" s="484" t="s">
        <v>281</v>
      </c>
      <c r="B45" s="485">
        <f>IF(B42="",0,IF(B42&lt;=G42,H42,IF(B42&gt;G40,0,H42+(H40-H42)/(G40-G42)*(B42-G42))))</f>
        <v>0</v>
      </c>
    </row>
    <row r="46" spans="1:12" ht="25" customHeight="1" thickBot="1">
      <c r="A46" s="482" t="s">
        <v>627</v>
      </c>
      <c r="B46" s="272">
        <f>SUM(B43+B45)</f>
        <v>0</v>
      </c>
      <c r="C46" s="161"/>
    </row>
    <row r="47" spans="1:12" ht="23.25" customHeight="1">
      <c r="B47" s="161"/>
      <c r="C47" s="161"/>
    </row>
    <row r="48" spans="1:12" ht="21" customHeight="1">
      <c r="B48" s="161"/>
      <c r="C48" s="161"/>
    </row>
    <row r="49" spans="2:3" ht="23.25" customHeight="1">
      <c r="B49" s="161"/>
      <c r="C49" s="161"/>
    </row>
    <row r="50" spans="2:3" ht="23.25" customHeight="1">
      <c r="B50" s="161"/>
      <c r="C50" s="161"/>
    </row>
    <row r="51" spans="2:3" ht="25" customHeight="1">
      <c r="B51" s="161"/>
      <c r="C51" s="161"/>
    </row>
    <row r="52" spans="2:3" ht="23.25" customHeight="1">
      <c r="B52" s="161"/>
      <c r="C52" s="161"/>
    </row>
    <row r="53" spans="2:3" ht="23.25" customHeight="1">
      <c r="B53" s="161"/>
      <c r="C53" s="161"/>
    </row>
    <row r="54" spans="2:3" ht="23.25" customHeight="1">
      <c r="B54" s="161"/>
      <c r="C54" s="161"/>
    </row>
    <row r="55" spans="2:3" ht="23.25" customHeight="1">
      <c r="B55" s="161"/>
      <c r="C55" s="161"/>
    </row>
    <row r="56" spans="2:3" ht="23.25" customHeight="1">
      <c r="B56" s="161"/>
      <c r="C56" s="161"/>
    </row>
    <row r="57" spans="2:3" ht="25" customHeight="1">
      <c r="C57" s="161"/>
    </row>
    <row r="58" spans="2:3" ht="23.25" customHeight="1">
      <c r="C58" s="161"/>
    </row>
    <row r="59" spans="2:3" ht="23.25" customHeight="1"/>
  </sheetData>
  <sheetProtection algorithmName="SHA-512" hashValue="edeVW6FmvCbzzm0l5pzWzUheNBGv3UyMnIolW2F8F0k3YqIJKjN8fBKrEpYDy2irpT+Sm/DiwSfY5uBAshC2gw==" saltValue="TlvTUXQciSWXK5dlZhC3Zg==" spinCount="100000" sheet="1" objects="1" scenarios="1"/>
  <protectedRanges>
    <protectedRange sqref="B5:B7 B29:B31 B40:B42" name="Bereich1_2"/>
  </protectedRanges>
  <mergeCells count="4">
    <mergeCell ref="J27:L27"/>
    <mergeCell ref="J38:L38"/>
    <mergeCell ref="J3:L3"/>
    <mergeCell ref="J16:L16"/>
  </mergeCells>
  <pageMargins left="0.7" right="0.7" top="0.78740157499999996" bottom="0.78740157499999996"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E5C226-3351-4B92-BFB6-8342F1A2AB75}">
  <sheetPr>
    <pageSetUpPr fitToPage="1"/>
  </sheetPr>
  <dimension ref="B1:P86"/>
  <sheetViews>
    <sheetView showGridLines="0" zoomScale="90" zoomScaleNormal="90" workbookViewId="0">
      <selection activeCell="P2" sqref="P2"/>
    </sheetView>
  </sheetViews>
  <sheetFormatPr baseColWidth="10" defaultColWidth="11.453125" defaultRowHeight="12.5" outlineLevelRow="1"/>
  <cols>
    <col min="1" max="1" width="5.54296875" style="297" customWidth="1"/>
    <col min="2" max="2" width="55.1796875" style="297" customWidth="1"/>
    <col min="3" max="3" width="20.26953125" style="297" customWidth="1"/>
    <col min="4" max="6" width="11.7265625" style="297" customWidth="1"/>
    <col min="7" max="9" width="5.54296875" style="297" hidden="1" customWidth="1"/>
    <col min="10" max="10" width="18.54296875" style="297" customWidth="1"/>
    <col min="11" max="11" width="20.81640625" style="297" customWidth="1"/>
    <col min="12" max="12" width="44.81640625" style="297" customWidth="1"/>
    <col min="13" max="13" width="21.54296875" style="297" hidden="1" customWidth="1"/>
    <col min="14" max="14" width="24.26953125" style="297" hidden="1" customWidth="1"/>
    <col min="15" max="15" width="32.26953125" style="297" hidden="1" customWidth="1"/>
    <col min="16" max="16" width="45" style="297" customWidth="1"/>
    <col min="17" max="16384" width="11.453125" style="297"/>
  </cols>
  <sheetData>
    <row r="1" spans="2:16" ht="13.5" customHeight="1">
      <c r="B1" s="626"/>
      <c r="C1" s="626"/>
      <c r="D1" s="626"/>
      <c r="E1" s="626"/>
      <c r="F1" s="626"/>
      <c r="K1" s="550"/>
    </row>
    <row r="2" spans="2:16" ht="204" customHeight="1">
      <c r="B2" s="1457" t="s">
        <v>387</v>
      </c>
      <c r="C2" s="1457"/>
      <c r="D2" s="1457"/>
      <c r="E2" s="1457"/>
      <c r="F2" s="1457"/>
      <c r="K2" s="1458" t="s">
        <v>386</v>
      </c>
      <c r="L2" s="1458"/>
    </row>
    <row r="3" spans="2:16" ht="15" customHeight="1">
      <c r="B3" s="647"/>
      <c r="C3" s="647"/>
      <c r="D3" s="647"/>
      <c r="E3" s="647"/>
      <c r="F3" s="647"/>
      <c r="K3" s="550" t="s">
        <v>385</v>
      </c>
      <c r="L3" s="646"/>
    </row>
    <row r="4" spans="2:16" ht="26.25" customHeight="1">
      <c r="B4" s="645" t="s">
        <v>384</v>
      </c>
      <c r="C4" s="1456" t="str">
        <f>IF(Punktevergabe!$D$2&gt;0,Punktevergabe!$D$2," ")</f>
        <v xml:space="preserve"> </v>
      </c>
      <c r="D4" s="1456"/>
      <c r="E4" s="644"/>
      <c r="F4" s="644"/>
      <c r="K4" s="643"/>
      <c r="L4" s="642" t="s">
        <v>383</v>
      </c>
      <c r="M4" s="297" t="s">
        <v>382</v>
      </c>
      <c r="N4" s="297" t="s">
        <v>379</v>
      </c>
      <c r="O4" s="297" t="s">
        <v>381</v>
      </c>
    </row>
    <row r="5" spans="2:16" ht="16.5" customHeight="1">
      <c r="B5" s="639" t="s">
        <v>380</v>
      </c>
      <c r="C5" s="1456" t="s">
        <v>379</v>
      </c>
      <c r="D5" s="1456"/>
      <c r="K5" s="589"/>
      <c r="L5" s="297" t="s">
        <v>378</v>
      </c>
      <c r="M5" s="297" t="s">
        <v>377</v>
      </c>
      <c r="N5" s="297" t="s">
        <v>376</v>
      </c>
      <c r="O5" s="297" t="s">
        <v>374</v>
      </c>
    </row>
    <row r="6" spans="2:16" ht="16.5" customHeight="1">
      <c r="B6" s="639" t="s">
        <v>375</v>
      </c>
      <c r="C6" s="1459" t="s">
        <v>381</v>
      </c>
      <c r="D6" s="1459"/>
      <c r="G6" s="550" t="s">
        <v>373</v>
      </c>
      <c r="H6" s="641" t="s">
        <v>372</v>
      </c>
      <c r="I6" s="641" t="s">
        <v>371</v>
      </c>
      <c r="J6" s="550"/>
      <c r="K6" s="640"/>
      <c r="L6" s="297" t="s">
        <v>370</v>
      </c>
      <c r="M6" s="297" t="s">
        <v>369</v>
      </c>
    </row>
    <row r="7" spans="2:16" ht="16.5" customHeight="1">
      <c r="B7" s="639" t="s">
        <v>368</v>
      </c>
      <c r="C7" s="1456" t="str">
        <f>IF(AND(C5="Nichtwohngebäude",C6="Neubau"),"QNG-NW23-N",IF(AND(C5="Nichtwohngebäude",C6="Komplettmodernisierung"),"QNG-NW23-K",IF(AND(C5="Wohngebäude",C6="Neubau"),"QNG-WG23-N",IF(AND(C5="Wohngebäude",C6="Komplettmodernisierung"),"QNG-WG23-K"," "))))</f>
        <v>QNG-NW23-N</v>
      </c>
      <c r="D7" s="1456"/>
      <c r="G7" s="550"/>
      <c r="H7" s="550"/>
      <c r="I7" s="550"/>
      <c r="J7" s="550"/>
      <c r="K7" s="638" t="s">
        <v>367</v>
      </c>
      <c r="L7" s="297" t="s">
        <v>366</v>
      </c>
      <c r="M7" s="297" t="s">
        <v>365</v>
      </c>
    </row>
    <row r="8" spans="2:16" ht="16.5" customHeight="1">
      <c r="G8" s="550"/>
      <c r="H8" s="550"/>
      <c r="I8" s="550"/>
      <c r="J8" s="550"/>
      <c r="K8" s="637" t="s">
        <v>364</v>
      </c>
      <c r="L8" s="297" t="s">
        <v>363</v>
      </c>
    </row>
    <row r="9" spans="2:16" ht="32.25" customHeight="1">
      <c r="C9" s="551" t="s">
        <v>289</v>
      </c>
      <c r="D9" s="551" t="s">
        <v>298</v>
      </c>
      <c r="E9" s="552" t="s">
        <v>226</v>
      </c>
      <c r="F9" s="552" t="s">
        <v>227</v>
      </c>
      <c r="J9" s="551" t="s">
        <v>288</v>
      </c>
      <c r="K9" s="551" t="s">
        <v>297</v>
      </c>
      <c r="L9" s="550" t="s">
        <v>362</v>
      </c>
      <c r="P9" s="550" t="s">
        <v>361</v>
      </c>
    </row>
    <row r="10" spans="2:16" ht="20">
      <c r="B10" s="636" t="s">
        <v>360</v>
      </c>
      <c r="C10" s="635">
        <f>C12+C14+C18+C20+C22+C33+C35</f>
        <v>334</v>
      </c>
      <c r="D10" s="635"/>
      <c r="E10" s="635"/>
      <c r="F10" s="635"/>
      <c r="G10" s="635"/>
      <c r="H10" s="635"/>
      <c r="I10" s="635"/>
      <c r="J10" s="634">
        <f>SUM(J12+J14+J18+J20+J22+J33+J35)</f>
        <v>0</v>
      </c>
      <c r="K10" s="634"/>
      <c r="L10" s="633"/>
      <c r="M10" s="297" t="s">
        <v>359</v>
      </c>
      <c r="P10" s="633"/>
    </row>
    <row r="11" spans="2:16" ht="7.5" customHeight="1">
      <c r="B11" s="540"/>
      <c r="C11" s="574"/>
      <c r="D11" s="574"/>
      <c r="E11" s="574"/>
      <c r="F11" s="574"/>
      <c r="G11" s="574"/>
      <c r="H11" s="574"/>
      <c r="I11" s="574"/>
      <c r="J11" s="574"/>
      <c r="K11" s="574"/>
      <c r="L11" s="540"/>
      <c r="M11" s="297" t="s">
        <v>358</v>
      </c>
      <c r="P11" s="540"/>
    </row>
    <row r="12" spans="2:16" ht="15" customHeight="1">
      <c r="B12" s="630" t="s">
        <v>357</v>
      </c>
      <c r="C12" s="612">
        <f>_xlfn.XLOOKUP($C$7,'Kriterieneinteilung LNB_QNG'!$AG$5:$AG$8,'Kriterieneinteilung LNB_QNG'!AH5:AH8," ",0,1)</f>
        <v>30</v>
      </c>
      <c r="D12" s="612" t="str">
        <f>IF(AND($K$13&lt;E13,$K$13&gt;=D13),"x"," ")</f>
        <v xml:space="preserve"> </v>
      </c>
      <c r="E12" s="612" t="str">
        <f>IF(AND($K$13&lt;F13,$K$13&gt;=E13),"x"," ")</f>
        <v xml:space="preserve"> </v>
      </c>
      <c r="F12" s="612" t="str">
        <f>IF($K$13&gt;=F13,"x","")</f>
        <v/>
      </c>
      <c r="G12" s="632">
        <f>IF(D12="x","x",IF(E12="x","x",IF(F12="x","x",0)))</f>
        <v>0</v>
      </c>
      <c r="H12" s="612"/>
      <c r="I12" s="612"/>
      <c r="J12" s="628">
        <f>IF(D12="x",0,IF(E12="x",C12/2,IF(F12="x",C12,0)))</f>
        <v>0</v>
      </c>
      <c r="K12" s="628"/>
      <c r="L12" s="611"/>
      <c r="M12" s="297" t="s">
        <v>290</v>
      </c>
      <c r="P12" s="611"/>
    </row>
    <row r="13" spans="2:16" ht="16.5" customHeight="1" outlineLevel="1">
      <c r="B13" s="1446" t="s">
        <v>356</v>
      </c>
      <c r="C13" s="1449"/>
      <c r="D13" s="620">
        <v>0.1</v>
      </c>
      <c r="E13" s="620">
        <v>0.4</v>
      </c>
      <c r="F13" s="620">
        <v>0.8</v>
      </c>
      <c r="G13" s="608"/>
      <c r="H13" s="624"/>
      <c r="I13" s="624"/>
      <c r="J13" s="607"/>
      <c r="K13" s="631">
        <f>Nebenrechnungen!C9</f>
        <v>0</v>
      </c>
      <c r="L13" s="540"/>
      <c r="M13" s="297" t="s">
        <v>355</v>
      </c>
      <c r="N13" s="569" t="s">
        <v>305</v>
      </c>
      <c r="O13" s="605"/>
      <c r="P13" s="540"/>
    </row>
    <row r="14" spans="2:16" ht="15" customHeight="1">
      <c r="B14" s="623" t="s">
        <v>354</v>
      </c>
      <c r="C14" s="612">
        <f>_xlfn.XLOOKUP($C$7,'Kriterieneinteilung LNB_QNG'!$AG$5:$AG$8,'Kriterieneinteilung LNB_QNG'!AJ5:AJ8," ",0,1)</f>
        <v>152</v>
      </c>
      <c r="D14" s="612" t="s">
        <v>292</v>
      </c>
      <c r="E14" s="612" t="str">
        <f>IF(AND($K$17&gt;K16,$K$17&lt;=K15),"x"," ")</f>
        <v xml:space="preserve"> </v>
      </c>
      <c r="F14" s="612" t="str">
        <f>IF(AND($K$17&lt;=K16,$K$17&gt;0),"x"," ")</f>
        <v xml:space="preserve"> </v>
      </c>
      <c r="G14" s="612">
        <f>IF(D14="x","x",IF(E14="x","x",IF(F14="x","x",0)))</f>
        <v>0</v>
      </c>
      <c r="H14" s="612">
        <f>IF(E14="x","x",IF(F14="x","x",0))</f>
        <v>0</v>
      </c>
      <c r="I14" s="612">
        <f>IF(F14="x","x",0)</f>
        <v>0</v>
      </c>
      <c r="J14" s="612">
        <f>IF(D14="x",0,IF(E14="x",C14/2,IF(F14="x",C14,0)))</f>
        <v>0</v>
      </c>
      <c r="K14" s="612"/>
      <c r="L14" s="612"/>
      <c r="M14" s="297" t="s">
        <v>226</v>
      </c>
      <c r="P14" s="612"/>
    </row>
    <row r="15" spans="2:16" ht="16.5" customHeight="1" outlineLevel="1">
      <c r="B15" s="1455" t="s">
        <v>353</v>
      </c>
      <c r="C15" s="1455"/>
      <c r="D15" s="1455"/>
      <c r="E15" s="1455"/>
      <c r="F15" s="1455"/>
      <c r="G15" s="1455"/>
      <c r="H15" s="1455"/>
      <c r="I15" s="1455"/>
      <c r="J15" s="1455"/>
      <c r="K15" s="589"/>
      <c r="L15" s="1433"/>
      <c r="M15" s="297" t="s">
        <v>227</v>
      </c>
      <c r="P15" s="1433"/>
    </row>
    <row r="16" spans="2:16" ht="16.5" customHeight="1" outlineLevel="1">
      <c r="B16" s="1455" t="s">
        <v>352</v>
      </c>
      <c r="C16" s="1455"/>
      <c r="D16" s="1455"/>
      <c r="E16" s="1455"/>
      <c r="F16" s="1455"/>
      <c r="G16" s="1455"/>
      <c r="H16" s="1455"/>
      <c r="I16" s="1455"/>
      <c r="J16" s="1455"/>
      <c r="K16" s="589"/>
      <c r="L16" s="1434"/>
      <c r="P16" s="1434"/>
    </row>
    <row r="17" spans="2:16" ht="16.5" customHeight="1" outlineLevel="1">
      <c r="B17" s="1455" t="s">
        <v>351</v>
      </c>
      <c r="C17" s="1455"/>
      <c r="D17" s="1455"/>
      <c r="E17" s="1455"/>
      <c r="F17" s="1455"/>
      <c r="G17" s="1455"/>
      <c r="H17" s="1455"/>
      <c r="I17" s="1455"/>
      <c r="J17" s="1455"/>
      <c r="K17" s="589"/>
      <c r="L17" s="1435"/>
      <c r="P17" s="1435"/>
    </row>
    <row r="18" spans="2:16" ht="15" customHeight="1">
      <c r="B18" s="630" t="s">
        <v>350</v>
      </c>
      <c r="C18" s="612">
        <f>_xlfn.XLOOKUP($C$7,'Kriterieneinteilung LNB_QNG'!$AG$5:$AG$8,'Kriterieneinteilung LNB_QNG'!AL5:AL8," ",0,1)</f>
        <v>30</v>
      </c>
      <c r="D18" s="612" t="str">
        <f>IF(AND(Nebenrechnungen!C15="Ja",'Punktevergabe LNB_QNG'!E18=" ",'Punktevergabe LNB_QNG'!F18=" "),"x"," ")</f>
        <v xml:space="preserve"> </v>
      </c>
      <c r="E18" s="612" t="str">
        <f>IF(AND(Nebenrechnungen!H106=1,Nebenrechnungen!C29&gt;=Nebenrechnungen!C28),"x"," ")</f>
        <v xml:space="preserve"> </v>
      </c>
      <c r="F18" s="612" t="str">
        <f>IF(AND(Nebenrechnungen!C17="Ja",Nebenrechnungen!C20="Ja",Nebenrechnungen!C29&gt;=Nebenrechnungen!C28),"x"," ")</f>
        <v xml:space="preserve"> </v>
      </c>
      <c r="G18" s="629">
        <f>IF(D18="x","x",IF(E18="x","x",IF(F18="x","x",0)))</f>
        <v>0</v>
      </c>
      <c r="H18" s="612"/>
      <c r="I18" s="612"/>
      <c r="J18" s="628">
        <f>IF(D18="x",0,IF(E18="x",C18/2,IF(F18="x",C18,0)))</f>
        <v>0</v>
      </c>
      <c r="K18" s="628"/>
      <c r="L18" s="611"/>
      <c r="N18" s="569" t="s">
        <v>305</v>
      </c>
      <c r="P18" s="611"/>
    </row>
    <row r="19" spans="2:16" ht="63" customHeight="1" outlineLevel="1">
      <c r="B19" s="1446" t="s">
        <v>349</v>
      </c>
      <c r="C19" s="1447"/>
      <c r="D19" s="627"/>
      <c r="E19" s="627"/>
      <c r="F19" s="627"/>
      <c r="G19" s="617"/>
      <c r="H19" s="616"/>
      <c r="I19" s="616"/>
      <c r="J19" s="615"/>
      <c r="K19" s="541" t="str">
        <f>IF(D18="x","Mindest-anforderung",IF(E18="x","Sollwert",IF(F18="x","Zielwert","Mindestanf. nicht erfüllt!")))</f>
        <v>Mindestanf. nicht erfüllt!</v>
      </c>
      <c r="L19" s="540"/>
      <c r="N19" s="626"/>
      <c r="P19" s="540"/>
    </row>
    <row r="20" spans="2:16" ht="15" customHeight="1">
      <c r="B20" s="625" t="s">
        <v>348</v>
      </c>
      <c r="C20" s="613">
        <f>_xlfn.XLOOKUP($C$7,'Kriterieneinteilung LNB_QNG'!$AG$5:$AG$8,'Kriterieneinteilung LNB_QNG'!AM5:AM8," ",0,1)</f>
        <v>46</v>
      </c>
      <c r="D20" s="613" t="str">
        <f>IF(AND($K$21&gt;E21,$K$21&lt;=D21),"x"," ")</f>
        <v xml:space="preserve"> </v>
      </c>
      <c r="E20" s="613" t="str">
        <f>IF(AND($K$21&gt;F21,$K$21&lt;=E21),"x"," ")</f>
        <v xml:space="preserve"> </v>
      </c>
      <c r="F20" s="613" t="str">
        <f>IF(AND($K$21&lt;=F21,$K$21&gt;0),"x"," ")</f>
        <v xml:space="preserve"> </v>
      </c>
      <c r="G20" s="613">
        <f>IF(D20="x","x",IF(E20="x","x",IF(F20="x","x",0)))</f>
        <v>0</v>
      </c>
      <c r="H20" s="613"/>
      <c r="I20" s="613"/>
      <c r="J20" s="613">
        <f>IF(D20="x",0,IF(E20="x",C20/2,IF(F20="x",C20,0)))</f>
        <v>0</v>
      </c>
      <c r="K20" s="612"/>
      <c r="L20" s="612"/>
      <c r="M20" s="297" t="s">
        <v>347</v>
      </c>
      <c r="P20" s="612"/>
    </row>
    <row r="21" spans="2:16" ht="15" customHeight="1" outlineLevel="1">
      <c r="B21" s="1446" t="s">
        <v>346</v>
      </c>
      <c r="C21" s="1449"/>
      <c r="D21" s="607">
        <v>20</v>
      </c>
      <c r="E21" s="607">
        <v>17</v>
      </c>
      <c r="F21" s="607">
        <v>11</v>
      </c>
      <c r="G21" s="608"/>
      <c r="H21" s="624"/>
      <c r="I21" s="624"/>
      <c r="J21" s="607"/>
      <c r="K21" s="589"/>
      <c r="L21" s="540"/>
      <c r="M21" s="297" t="s">
        <v>345</v>
      </c>
      <c r="P21" s="540"/>
    </row>
    <row r="22" spans="2:16" ht="15" customHeight="1">
      <c r="B22" s="623" t="s">
        <v>344</v>
      </c>
      <c r="C22" s="612">
        <f>_xlfn.XLOOKUP($C$7,'Kriterieneinteilung LNB_QNG'!$AG$5:$AG$8,'Kriterieneinteilung LNB_QNG'!AV5:AV8," ",0,1)</f>
        <v>46</v>
      </c>
      <c r="D22" s="612" t="s">
        <v>292</v>
      </c>
      <c r="E22" s="612" t="str">
        <f>IF(AND($K$28&gt;=E28,$K$23&gt;=E23,F22=" "),"x"," ")</f>
        <v xml:space="preserve"> </v>
      </c>
      <c r="F22" s="612" t="str">
        <f>IF(AND($K$28&gt;=F28,$K$23&gt;=F23),"x"," ")</f>
        <v xml:space="preserve"> </v>
      </c>
      <c r="G22" s="612">
        <f>IF(D22="x","x",IF(E22="x","x",IF(F22="x","x",0)))</f>
        <v>0</v>
      </c>
      <c r="H22" s="612">
        <f>IF(E22="x","x",IF(F22="x","x",0))</f>
        <v>0</v>
      </c>
      <c r="I22" s="612">
        <f>IF(F22="x","x",0)</f>
        <v>0</v>
      </c>
      <c r="J22" s="612">
        <f>IF(D22="x",0,IF(E22="x",C22/2,IF(F22="x",C22,0)))</f>
        <v>0</v>
      </c>
      <c r="K22" s="612"/>
      <c r="L22" s="612"/>
      <c r="P22" s="612"/>
    </row>
    <row r="23" spans="2:16" ht="15" customHeight="1" outlineLevel="1">
      <c r="B23" s="1450" t="s">
        <v>343</v>
      </c>
      <c r="C23" s="1451"/>
      <c r="D23" s="621" t="s">
        <v>292</v>
      </c>
      <c r="E23" s="620">
        <f>IF($C$5="Nichtwohngebäude",0.7,0.5)</f>
        <v>0.7</v>
      </c>
      <c r="F23" s="620">
        <f>IF($C$5="Nichtwohngebäude",0.85,0.8)</f>
        <v>0.85</v>
      </c>
      <c r="G23" s="620"/>
      <c r="H23" s="620"/>
      <c r="I23" s="620"/>
      <c r="J23" s="620"/>
      <c r="K23" s="620">
        <f>IF(K24&gt;0,(K25+K26*K27)/K24,0)</f>
        <v>0</v>
      </c>
      <c r="L23" s="1433"/>
      <c r="N23" s="297" t="s">
        <v>342</v>
      </c>
      <c r="P23" s="1433"/>
    </row>
    <row r="24" spans="2:16" ht="15" customHeight="1" outlineLevel="1">
      <c r="B24" s="1452" t="s">
        <v>341</v>
      </c>
      <c r="C24" s="1453"/>
      <c r="D24" s="1453"/>
      <c r="E24" s="1453"/>
      <c r="F24" s="1453"/>
      <c r="G24" s="1453"/>
      <c r="H24" s="1453"/>
      <c r="I24" s="1453"/>
      <c r="J24" s="1454"/>
      <c r="K24" s="589"/>
      <c r="L24" s="1434"/>
      <c r="P24" s="1434"/>
    </row>
    <row r="25" spans="2:16" ht="15" customHeight="1" outlineLevel="1">
      <c r="B25" s="1445" t="s">
        <v>340</v>
      </c>
      <c r="C25" s="1445"/>
      <c r="D25" s="1445"/>
      <c r="E25" s="1445"/>
      <c r="F25" s="1445"/>
      <c r="G25" s="1445"/>
      <c r="H25" s="1445"/>
      <c r="I25" s="1445"/>
      <c r="J25" s="1445"/>
      <c r="K25" s="589"/>
      <c r="L25" s="1434"/>
      <c r="P25" s="1434"/>
    </row>
    <row r="26" spans="2:16" ht="15" customHeight="1" outlineLevel="1">
      <c r="B26" s="1445" t="s">
        <v>339</v>
      </c>
      <c r="C26" s="1445"/>
      <c r="D26" s="1445"/>
      <c r="E26" s="1445"/>
      <c r="F26" s="1445"/>
      <c r="G26" s="1445"/>
      <c r="H26" s="1445"/>
      <c r="I26" s="1445"/>
      <c r="J26" s="1445"/>
      <c r="K26" s="589"/>
      <c r="L26" s="1434"/>
      <c r="P26" s="1434"/>
    </row>
    <row r="27" spans="2:16" ht="30.75" customHeight="1" outlineLevel="1">
      <c r="B27" s="1445" t="s">
        <v>338</v>
      </c>
      <c r="C27" s="1445"/>
      <c r="D27" s="1445"/>
      <c r="E27" s="1445"/>
      <c r="F27" s="1445"/>
      <c r="G27" s="1445"/>
      <c r="H27" s="1445"/>
      <c r="I27" s="1445"/>
      <c r="J27" s="1445"/>
      <c r="K27" s="622"/>
      <c r="L27" s="1434"/>
      <c r="P27" s="1434"/>
    </row>
    <row r="28" spans="2:16" ht="15" customHeight="1" outlineLevel="1">
      <c r="B28" s="1450" t="s">
        <v>337</v>
      </c>
      <c r="C28" s="1451"/>
      <c r="D28" s="621" t="s">
        <v>292</v>
      </c>
      <c r="E28" s="620">
        <f>IF($C$5="Nichtwohngebäude",0.3,0)</f>
        <v>0.3</v>
      </c>
      <c r="F28" s="620">
        <f>IF($C$5="Nichtwohngebäude",0.5,0)</f>
        <v>0.5</v>
      </c>
      <c r="G28" s="620"/>
      <c r="H28" s="620"/>
      <c r="I28" s="620"/>
      <c r="J28" s="620"/>
      <c r="K28" s="620">
        <f>IF(AND(K29&gt;0,K30&gt;0),(K31+K32)/(K29+K30),0)</f>
        <v>0</v>
      </c>
      <c r="L28" s="1434"/>
      <c r="N28" s="297" t="s">
        <v>336</v>
      </c>
      <c r="P28" s="1434"/>
    </row>
    <row r="29" spans="2:16" ht="15.5" outlineLevel="1">
      <c r="B29" s="1445" t="s">
        <v>335</v>
      </c>
      <c r="C29" s="1445"/>
      <c r="D29" s="1445"/>
      <c r="E29" s="1445"/>
      <c r="F29" s="1445"/>
      <c r="G29" s="1445"/>
      <c r="H29" s="1445"/>
      <c r="I29" s="1445"/>
      <c r="J29" s="1445"/>
      <c r="K29" s="589"/>
      <c r="L29" s="1434"/>
      <c r="P29" s="1434"/>
    </row>
    <row r="30" spans="2:16" ht="15.75" customHeight="1" outlineLevel="1">
      <c r="B30" s="1445" t="s">
        <v>334</v>
      </c>
      <c r="C30" s="1445"/>
      <c r="D30" s="1445"/>
      <c r="E30" s="1445"/>
      <c r="F30" s="1445"/>
      <c r="G30" s="1445"/>
      <c r="H30" s="1445"/>
      <c r="I30" s="1445"/>
      <c r="J30" s="1445"/>
      <c r="K30" s="589"/>
      <c r="L30" s="1434"/>
      <c r="P30" s="1434"/>
    </row>
    <row r="31" spans="2:16" ht="15.5" outlineLevel="1">
      <c r="B31" s="1445" t="s">
        <v>333</v>
      </c>
      <c r="C31" s="1445"/>
      <c r="D31" s="1445"/>
      <c r="E31" s="1445"/>
      <c r="F31" s="1445"/>
      <c r="G31" s="1445"/>
      <c r="H31" s="1445"/>
      <c r="I31" s="1445"/>
      <c r="J31" s="1445"/>
      <c r="K31" s="589"/>
      <c r="L31" s="1434"/>
      <c r="P31" s="1434"/>
    </row>
    <row r="32" spans="2:16" ht="15.5" outlineLevel="1">
      <c r="B32" s="1445" t="s">
        <v>332</v>
      </c>
      <c r="C32" s="1445"/>
      <c r="D32" s="1445"/>
      <c r="E32" s="1445"/>
      <c r="F32" s="1445"/>
      <c r="G32" s="1445"/>
      <c r="H32" s="1445"/>
      <c r="I32" s="1445"/>
      <c r="J32" s="1445"/>
      <c r="K32" s="589"/>
      <c r="L32" s="1435"/>
      <c r="P32" s="1435"/>
    </row>
    <row r="33" spans="2:16" ht="15" customHeight="1">
      <c r="B33" s="619" t="s">
        <v>331</v>
      </c>
      <c r="C33" s="612">
        <f>_xlfn.XLOOKUP($C$7,'Kriterieneinteilung LNB_QNG'!$AG$5:$AG$8,'Kriterieneinteilung LNB_QNG'!BA5:BA8," ",0,1)</f>
        <v>0</v>
      </c>
      <c r="D33" s="612" t="s">
        <v>292</v>
      </c>
      <c r="E33" s="612" t="str">
        <f>IF($K$34="Sollwert","x"," ")</f>
        <v xml:space="preserve"> </v>
      </c>
      <c r="F33" s="612" t="str">
        <f>IF($K$34="Zielwert","x"," ")</f>
        <v xml:space="preserve"> </v>
      </c>
      <c r="G33" s="612">
        <f>IF(D33="x","x",IF(E33="x","x",IF(F33="x","x",0)))</f>
        <v>0</v>
      </c>
      <c r="H33" s="530"/>
      <c r="I33" s="612"/>
      <c r="J33" s="612">
        <f>IF(D33="x",0,IF(E33="x",C33/2,IF(F33="x",C33,0)))</f>
        <v>0</v>
      </c>
      <c r="K33" s="612"/>
      <c r="L33" s="612"/>
      <c r="N33" s="297" t="s">
        <v>291</v>
      </c>
      <c r="P33" s="612"/>
    </row>
    <row r="34" spans="2:16" ht="60" customHeight="1" outlineLevel="1">
      <c r="B34" s="1446" t="s">
        <v>413</v>
      </c>
      <c r="C34" s="1447"/>
      <c r="D34" s="618"/>
      <c r="E34" s="618"/>
      <c r="F34" s="618"/>
      <c r="G34" s="617"/>
      <c r="H34" s="616"/>
      <c r="I34" s="616"/>
      <c r="J34" s="615"/>
      <c r="K34" s="541"/>
      <c r="L34" s="540"/>
      <c r="P34" s="540"/>
    </row>
    <row r="35" spans="2:16" ht="15" customHeight="1">
      <c r="B35" s="614" t="s">
        <v>330</v>
      </c>
      <c r="C35" s="613">
        <f>_xlfn.XLOOKUP($C$7,'Kriterieneinteilung LNB_QNG'!$AG$5:$AG$8,'Kriterieneinteilung LNB_QNG'!BC5:BC8," ",0,1)</f>
        <v>30</v>
      </c>
      <c r="D35" s="613" t="s">
        <v>292</v>
      </c>
      <c r="E35" s="613" t="str">
        <f>IF(AND($K$36&lt;F36,$K$36&gt;=E36),"x"," ")</f>
        <v xml:space="preserve"> </v>
      </c>
      <c r="F35" s="613" t="str">
        <f>IF($K$36&gt;=F36,"x"," ")</f>
        <v xml:space="preserve"> </v>
      </c>
      <c r="G35" s="613">
        <f>IF(D35="x","x",IF(E35="x","x",IF(F35="x","x",0)))</f>
        <v>0</v>
      </c>
      <c r="H35" s="297">
        <f>IF(E35="x","x",IF(F35="x","x",0))</f>
        <v>0</v>
      </c>
      <c r="I35" s="613">
        <f>IF(F35="x","x",0)</f>
        <v>0</v>
      </c>
      <c r="J35" s="613">
        <f>IF(D35="x",0,IF(E35="x",C35/2,IF(F35="x",C35,0)))</f>
        <v>0</v>
      </c>
      <c r="K35" s="612"/>
      <c r="L35" s="611"/>
      <c r="N35" s="297" t="s">
        <v>299</v>
      </c>
      <c r="P35" s="611"/>
    </row>
    <row r="36" spans="2:16" ht="15" customHeight="1" outlineLevel="1">
      <c r="B36" s="1448" t="s">
        <v>403</v>
      </c>
      <c r="C36" s="1449"/>
      <c r="D36" s="610" t="s">
        <v>292</v>
      </c>
      <c r="E36" s="609">
        <f>IF($C$5="Nichtwohngebäude",0.5," ")</f>
        <v>0.5</v>
      </c>
      <c r="F36" s="609">
        <f>IF($C$5="Nichtwohngebäude",0.75," ")</f>
        <v>0.75</v>
      </c>
      <c r="G36" s="608"/>
      <c r="H36" s="608"/>
      <c r="I36" s="608"/>
      <c r="J36" s="607"/>
      <c r="K36" s="606">
        <f>Nebenrechnungen!C133</f>
        <v>0</v>
      </c>
      <c r="L36" s="540"/>
      <c r="N36" s="569" t="s">
        <v>329</v>
      </c>
      <c r="O36" s="605"/>
      <c r="P36" s="540"/>
    </row>
    <row r="37" spans="2:16" ht="26">
      <c r="B37" s="530"/>
      <c r="C37" s="551" t="s">
        <v>289</v>
      </c>
      <c r="D37" s="551" t="s">
        <v>298</v>
      </c>
      <c r="E37" s="552" t="s">
        <v>226</v>
      </c>
      <c r="F37" s="552" t="s">
        <v>227</v>
      </c>
      <c r="G37" s="578"/>
      <c r="H37" s="578"/>
      <c r="I37" s="578"/>
      <c r="J37" s="551" t="s">
        <v>288</v>
      </c>
      <c r="K37" s="551" t="s">
        <v>297</v>
      </c>
      <c r="L37" s="550" t="s">
        <v>362</v>
      </c>
      <c r="P37" s="550" t="s">
        <v>361</v>
      </c>
    </row>
    <row r="38" spans="2:16" ht="20">
      <c r="B38" s="604" t="s">
        <v>328</v>
      </c>
      <c r="C38" s="602">
        <f>SUM(C40+C44+C46+C48+C52)</f>
        <v>308</v>
      </c>
      <c r="D38" s="603"/>
      <c r="E38" s="603"/>
      <c r="F38" s="603"/>
      <c r="G38" s="603"/>
      <c r="H38" s="603"/>
      <c r="I38" s="603"/>
      <c r="J38" s="602">
        <f>SUM(J40+J44+J46+J48+J52)</f>
        <v>0</v>
      </c>
      <c r="K38" s="602"/>
      <c r="L38" s="601"/>
      <c r="P38" s="601"/>
    </row>
    <row r="39" spans="2:16" ht="7.5" customHeight="1">
      <c r="B39" s="540"/>
      <c r="C39" s="574"/>
      <c r="D39" s="574"/>
      <c r="E39" s="574"/>
      <c r="F39" s="574"/>
      <c r="G39" s="574"/>
      <c r="H39" s="574"/>
      <c r="I39" s="574"/>
      <c r="J39" s="574"/>
      <c r="K39" s="574"/>
      <c r="L39" s="540"/>
      <c r="P39" s="540"/>
    </row>
    <row r="40" spans="2:16" ht="15" customHeight="1">
      <c r="B40" s="600" t="s">
        <v>327</v>
      </c>
      <c r="C40" s="599">
        <f>_xlfn.XLOOKUP($C$7,'Kriterieneinteilung LNB_QNG'!$AG$5:$AG$8,'Kriterieneinteilung LNB_QNG'!AI5:AI8," ",0,1)</f>
        <v>152</v>
      </c>
      <c r="D40" s="598" t="s">
        <v>292</v>
      </c>
      <c r="E40" s="599" t="str">
        <f>IF(AND($K$43&gt;K42,$K$43&lt;=K41),"x"," ")</f>
        <v xml:space="preserve"> </v>
      </c>
      <c r="F40" s="599" t="str">
        <f>IF(AND($K$43&lt;=K42,$K$43&gt;0),"x"," ")</f>
        <v xml:space="preserve"> </v>
      </c>
      <c r="G40" s="297">
        <f>IF(D40="x","x",IF(E40="x","x",IF(F40="x","x",0)))</f>
        <v>0</v>
      </c>
      <c r="H40" s="297">
        <f>IF(E40="x","x",IF(F40="x","x",0))</f>
        <v>0</v>
      </c>
      <c r="I40" s="297">
        <f>IF(F40="x","x",0)</f>
        <v>0</v>
      </c>
      <c r="J40" s="598">
        <f>IF(D40="x",0,IF(E40="x",C40/2,IF(F40="x",C40,0)))</f>
        <v>0</v>
      </c>
      <c r="K40" s="597"/>
      <c r="L40" s="594"/>
      <c r="P40" s="594"/>
    </row>
    <row r="41" spans="2:16" ht="15" customHeight="1" outlineLevel="1">
      <c r="B41" s="1436" t="s">
        <v>326</v>
      </c>
      <c r="C41" s="1436"/>
      <c r="D41" s="1436"/>
      <c r="E41" s="1436"/>
      <c r="F41" s="1436"/>
      <c r="G41" s="1436"/>
      <c r="H41" s="1436"/>
      <c r="I41" s="1436"/>
      <c r="J41" s="1436"/>
      <c r="K41" s="589"/>
      <c r="L41" s="1433"/>
      <c r="P41" s="1433"/>
    </row>
    <row r="42" spans="2:16" ht="15" customHeight="1" outlineLevel="1">
      <c r="B42" s="1436" t="s">
        <v>325</v>
      </c>
      <c r="C42" s="1436"/>
      <c r="D42" s="1436"/>
      <c r="E42" s="1436"/>
      <c r="F42" s="1436"/>
      <c r="G42" s="1436"/>
      <c r="H42" s="1436"/>
      <c r="I42" s="1436"/>
      <c r="J42" s="1436"/>
      <c r="K42" s="589"/>
      <c r="L42" s="1434"/>
      <c r="P42" s="1434"/>
    </row>
    <row r="43" spans="2:16" ht="15" customHeight="1" outlineLevel="1">
      <c r="B43" s="1436" t="s">
        <v>324</v>
      </c>
      <c r="C43" s="1436"/>
      <c r="D43" s="1436"/>
      <c r="E43" s="1436"/>
      <c r="F43" s="1436"/>
      <c r="G43" s="1436"/>
      <c r="H43" s="1436"/>
      <c r="I43" s="1436"/>
      <c r="J43" s="1436"/>
      <c r="K43" s="589"/>
      <c r="L43" s="1435"/>
      <c r="P43" s="1435"/>
    </row>
    <row r="44" spans="2:16" ht="15" customHeight="1">
      <c r="B44" s="596" t="s">
        <v>323</v>
      </c>
      <c r="C44" s="585">
        <f>_xlfn.XLOOKUP($C$7,'Kriterieneinteilung LNB_QNG'!$AG$5:$AG$8,'Kriterieneinteilung LNB_QNG'!AK5:AK8," ",0,1)</f>
        <v>16</v>
      </c>
      <c r="D44" s="585" t="str">
        <f>IF($K$45=$M$13,"x"," ")</f>
        <v xml:space="preserve"> </v>
      </c>
      <c r="E44" s="585" t="str">
        <f>IF($K$45="Sollwert","x"," ")</f>
        <v xml:space="preserve"> </v>
      </c>
      <c r="F44" s="585" t="str">
        <f>IF($K$45="Zielwert","x"," ")</f>
        <v xml:space="preserve"> </v>
      </c>
      <c r="G44" s="530">
        <f>IF(D44="x","x",IF(E44="x","x",IF(F44="x","x",0)))</f>
        <v>0</v>
      </c>
      <c r="H44" s="530"/>
      <c r="I44" s="530"/>
      <c r="J44" s="585">
        <f>IF(D44="x",0,IF(E44="x",C44/2,IF(F44="x",C44,0)))</f>
        <v>0</v>
      </c>
      <c r="K44" s="585"/>
      <c r="L44" s="594"/>
      <c r="P44" s="594"/>
    </row>
    <row r="45" spans="2:16" ht="60" customHeight="1" outlineLevel="1">
      <c r="B45" s="1438" t="s">
        <v>441</v>
      </c>
      <c r="C45" s="1439"/>
      <c r="D45" s="595"/>
      <c r="E45" s="595"/>
      <c r="F45" s="595"/>
      <c r="G45" s="530"/>
      <c r="H45" s="543"/>
      <c r="I45" s="543"/>
      <c r="J45" s="579"/>
      <c r="K45" s="541"/>
      <c r="L45" s="540"/>
      <c r="P45" s="540"/>
    </row>
    <row r="46" spans="2:16" ht="31">
      <c r="B46" s="596" t="s">
        <v>322</v>
      </c>
      <c r="C46" s="585">
        <f>_xlfn.XLOOKUP($C$7,'Kriterieneinteilung LNB_QNG'!$AG$5:$AG$8,'Kriterieneinteilung LNB_QNG'!AP5:AP8," ",0,1)</f>
        <v>46</v>
      </c>
      <c r="D46" s="585" t="str">
        <f>IF($K$47=$M$13,"x"," ")</f>
        <v xml:space="preserve"> </v>
      </c>
      <c r="E46" s="585" t="str">
        <f>IF($K$47="Sollwert","x"," ")</f>
        <v xml:space="preserve"> </v>
      </c>
      <c r="F46" s="585" t="str">
        <f>IF($K$47="Zielwert","x"," ")</f>
        <v xml:space="preserve"> </v>
      </c>
      <c r="G46" s="530">
        <f>IF(D46="x","x",IF(E46="x","x",IF(F46="x","x",0)))</f>
        <v>0</v>
      </c>
      <c r="H46" s="530"/>
      <c r="I46" s="530"/>
      <c r="J46" s="585">
        <f>IF(D46="x",0,IF(E46="x",C46/2,IF(F46="x",C46,0)))</f>
        <v>0</v>
      </c>
      <c r="K46" s="585"/>
      <c r="L46" s="584"/>
      <c r="P46" s="594"/>
    </row>
    <row r="47" spans="2:16" ht="60" customHeight="1" outlineLevel="1">
      <c r="B47" s="1438" t="s">
        <v>321</v>
      </c>
      <c r="C47" s="1439"/>
      <c r="D47" s="595"/>
      <c r="E47" s="595"/>
      <c r="F47" s="595"/>
      <c r="G47" s="530"/>
      <c r="H47" s="543"/>
      <c r="I47" s="543"/>
      <c r="J47" s="579"/>
      <c r="K47" s="541"/>
      <c r="L47" s="540"/>
      <c r="P47" s="540"/>
    </row>
    <row r="48" spans="2:16" ht="15" customHeight="1">
      <c r="B48" s="588" t="s">
        <v>320</v>
      </c>
      <c r="C48" s="586">
        <f>_xlfn.XLOOKUP($C$7,'Kriterieneinteilung LNB_QNG'!$AG$5:$AG$8,'Kriterieneinteilung LNB_QNG'!AQ5:AQ8," ",0,1)</f>
        <v>30</v>
      </c>
      <c r="D48" s="586" t="str">
        <f>IF(AND($K$49&lt;E49,$K$49&gt;=D49),"x"," ")</f>
        <v xml:space="preserve"> </v>
      </c>
      <c r="E48" s="586" t="str">
        <f>IF(AND($K$49&lt;F49,$K$49&gt;=E49),"x"," ")</f>
        <v xml:space="preserve"> </v>
      </c>
      <c r="F48" s="586" t="str">
        <f>IF(AND($K$49&gt;=F49,K50&gt;0,K51&gt;0),"x"," ")</f>
        <v xml:space="preserve"> </v>
      </c>
      <c r="G48" s="297">
        <f>IF(D48="x","x",IF(E48="x","x",IF(F48="x","x",0)))</f>
        <v>0</v>
      </c>
      <c r="J48" s="586">
        <f>IF(D48="x",0,IF(E48="x",C48/2,IF(F48="x",C48,0)))</f>
        <v>0</v>
      </c>
      <c r="K48" s="585"/>
      <c r="L48" s="594"/>
      <c r="P48" s="594"/>
    </row>
    <row r="49" spans="2:16" ht="15" customHeight="1" outlineLevel="1">
      <c r="B49" s="1440" t="s">
        <v>319</v>
      </c>
      <c r="C49" s="1441"/>
      <c r="D49" s="593">
        <f>IF($C$5="Nichtwohngebäude",0.4,0.4)</f>
        <v>0.4</v>
      </c>
      <c r="E49" s="593">
        <f>IF($C$5="Nichtwohngebäude",0.5,0.6)</f>
        <v>0.5</v>
      </c>
      <c r="F49" s="593">
        <f>IF($C$5="Nichtwohngebäude",0.7,0.75)</f>
        <v>0.7</v>
      </c>
      <c r="H49" s="592"/>
      <c r="I49" s="592"/>
      <c r="J49" s="591"/>
      <c r="K49" s="590" t="str">
        <f>IF(K51&gt;0,K50/K51,"0")</f>
        <v>0</v>
      </c>
      <c r="L49" s="1433"/>
      <c r="N49" s="297" t="s">
        <v>318</v>
      </c>
      <c r="P49" s="1433"/>
    </row>
    <row r="50" spans="2:16" ht="15" customHeight="1" outlineLevel="1">
      <c r="B50" s="1442" t="s">
        <v>317</v>
      </c>
      <c r="C50" s="1442"/>
      <c r="D50" s="1442"/>
      <c r="E50" s="1442"/>
      <c r="F50" s="1442"/>
      <c r="G50" s="1442"/>
      <c r="H50" s="1442"/>
      <c r="I50" s="1442"/>
      <c r="J50" s="1442"/>
      <c r="K50" s="589"/>
      <c r="L50" s="1434"/>
      <c r="P50" s="1434"/>
    </row>
    <row r="51" spans="2:16" ht="15" customHeight="1" outlineLevel="1">
      <c r="B51" s="1442" t="s">
        <v>316</v>
      </c>
      <c r="C51" s="1442"/>
      <c r="D51" s="1442"/>
      <c r="E51" s="1442"/>
      <c r="F51" s="1442"/>
      <c r="G51" s="1442"/>
      <c r="H51" s="1442"/>
      <c r="I51" s="1442"/>
      <c r="J51" s="1442"/>
      <c r="K51" s="589"/>
      <c r="L51" s="1435"/>
      <c r="M51" s="297">
        <v>0</v>
      </c>
      <c r="P51" s="1435"/>
    </row>
    <row r="52" spans="2:16" ht="15" customHeight="1">
      <c r="B52" s="588" t="s">
        <v>315</v>
      </c>
      <c r="C52" s="586">
        <f>_xlfn.XLOOKUP($C$7,'Kriterieneinteilung LNB_QNG'!$AG$5:$AG$8,'Kriterieneinteilung LNB_QNG'!AW5:AW8," ",0,1)</f>
        <v>64</v>
      </c>
      <c r="D52" s="587" t="s">
        <v>292</v>
      </c>
      <c r="E52" s="586" t="s">
        <v>686</v>
      </c>
      <c r="F52" s="586" t="str">
        <f>IF(Nebenrechnungen!$C$82=2,"x"," ")</f>
        <v xml:space="preserve"> </v>
      </c>
      <c r="G52" s="297">
        <f>IF(D52="x","x",IF(E52="x","x",IF(F52="x","x",0)))</f>
        <v>0</v>
      </c>
      <c r="J52" s="586">
        <f>IF(D52="x",0,IF(E52="x",C52/2,IF(F52="x",C52,0)))</f>
        <v>0</v>
      </c>
      <c r="K52" s="585"/>
      <c r="L52" s="584"/>
      <c r="M52" s="297">
        <v>1</v>
      </c>
      <c r="P52" s="583"/>
    </row>
    <row r="53" spans="2:16" ht="33.75" customHeight="1" outlineLevel="1">
      <c r="B53" s="1440" t="s">
        <v>314</v>
      </c>
      <c r="C53" s="1443"/>
      <c r="D53" s="582" t="s">
        <v>292</v>
      </c>
      <c r="E53" s="580">
        <v>1</v>
      </c>
      <c r="F53" s="580">
        <v>2</v>
      </c>
      <c r="H53" s="581"/>
      <c r="I53" s="581"/>
      <c r="J53" s="580"/>
      <c r="K53" s="579" t="str">
        <f>IF(F52="x","Zielwert",IF(E52="x","Sollwert","Mindestanf. nicht erfüllt!"))</f>
        <v>Mindestanf. nicht erfüllt!</v>
      </c>
      <c r="L53" s="540"/>
      <c r="M53" s="297">
        <v>2</v>
      </c>
      <c r="P53" s="540"/>
    </row>
    <row r="54" spans="2:16" ht="26">
      <c r="B54" s="530"/>
      <c r="C54" s="551" t="s">
        <v>289</v>
      </c>
      <c r="D54" s="551" t="s">
        <v>298</v>
      </c>
      <c r="E54" s="552" t="s">
        <v>226</v>
      </c>
      <c r="F54" s="552" t="s">
        <v>227</v>
      </c>
      <c r="G54" s="578"/>
      <c r="H54" s="578"/>
      <c r="I54" s="578"/>
      <c r="J54" s="551" t="s">
        <v>288</v>
      </c>
      <c r="K54" s="551" t="s">
        <v>297</v>
      </c>
      <c r="L54" s="550" t="s">
        <v>362</v>
      </c>
      <c r="P54" s="550" t="s">
        <v>361</v>
      </c>
    </row>
    <row r="55" spans="2:16" ht="20">
      <c r="B55" s="577" t="s">
        <v>313</v>
      </c>
      <c r="C55" s="576">
        <f>SUM(C57+C59+C61+C63+C65+C67+C69)</f>
        <v>328</v>
      </c>
      <c r="D55" s="576"/>
      <c r="E55" s="576"/>
      <c r="F55" s="576"/>
      <c r="G55" s="576"/>
      <c r="H55" s="576"/>
      <c r="I55" s="576"/>
      <c r="J55" s="576">
        <f>SUM(J57+J59+J61+J63+J65+J67+J69)</f>
        <v>0</v>
      </c>
      <c r="K55" s="576"/>
      <c r="L55" s="575"/>
      <c r="P55" s="575"/>
    </row>
    <row r="56" spans="2:16" ht="7.5" customHeight="1">
      <c r="B56" s="540"/>
      <c r="C56" s="574"/>
      <c r="D56" s="574"/>
      <c r="E56" s="574"/>
      <c r="F56" s="574"/>
      <c r="G56" s="574"/>
      <c r="H56" s="574"/>
      <c r="I56" s="574"/>
      <c r="J56" s="574"/>
      <c r="K56" s="574"/>
      <c r="L56" s="540"/>
      <c r="P56" s="540"/>
    </row>
    <row r="57" spans="2:16" ht="15" customHeight="1">
      <c r="B57" s="573" t="s">
        <v>312</v>
      </c>
      <c r="C57" s="571">
        <f>_xlfn.XLOOKUP($C$7,'Kriterieneinteilung LNB_QNG'!$AG$5:$AG$8,'Kriterieneinteilung LNB_QNG'!AN5:AN8," ",0,1)</f>
        <v>122</v>
      </c>
      <c r="D57" s="572" t="s">
        <v>292</v>
      </c>
      <c r="E57" s="571" t="str">
        <f>IF($K$58="Sollwert","x"," ")</f>
        <v xml:space="preserve"> </v>
      </c>
      <c r="F57" s="571" t="str">
        <f>IF($K$58="Zielwert","x"," ")</f>
        <v xml:space="preserve"> </v>
      </c>
      <c r="G57" s="297">
        <f>IF(D57="x","x",IF(E57="x","x",IF(F57="x","x",0)))</f>
        <v>0</v>
      </c>
      <c r="H57" s="297">
        <f>IF(E57="x","x",IF(F57="x","x",0))</f>
        <v>0</v>
      </c>
      <c r="I57" s="297">
        <f>IF(F57="x","x",0)</f>
        <v>0</v>
      </c>
      <c r="J57" s="571">
        <f>IF(D57="x",0,IF(E57="x",C57/2,IF(F57="x",C57,0)))</f>
        <v>0</v>
      </c>
      <c r="K57" s="558"/>
      <c r="L57" s="567"/>
      <c r="P57" s="567"/>
    </row>
    <row r="58" spans="2:16" ht="60" customHeight="1" outlineLevel="1">
      <c r="B58" s="1437" t="s">
        <v>311</v>
      </c>
      <c r="C58" s="1426"/>
      <c r="D58" s="556"/>
      <c r="E58" s="556"/>
      <c r="F58" s="556"/>
      <c r="G58" s="530"/>
      <c r="H58" s="543"/>
      <c r="I58" s="543"/>
      <c r="J58" s="554"/>
      <c r="K58" s="541"/>
      <c r="L58" s="540"/>
      <c r="P58" s="540"/>
    </row>
    <row r="59" spans="2:16" ht="15" customHeight="1">
      <c r="B59" s="560" t="s">
        <v>310</v>
      </c>
      <c r="C59" s="558">
        <f>_xlfn.XLOOKUP($C$7,'Kriterieneinteilung LNB_QNG'!$AG$5:$AG$8,'Kriterieneinteilung LNB_QNG'!AO5:AO8," ",0,1)</f>
        <v>46</v>
      </c>
      <c r="D59" s="559" t="s">
        <v>292</v>
      </c>
      <c r="E59" s="558" t="str">
        <f>IF($K$60="Sollwert","x"," ")</f>
        <v xml:space="preserve"> </v>
      </c>
      <c r="F59" s="558" t="str">
        <f>IF($K$60="Zielwert","x"," ")</f>
        <v xml:space="preserve"> </v>
      </c>
      <c r="G59" s="530">
        <f>IF(D59="x","x",IF(E59="x","x",IF(F59="x","x",0)))</f>
        <v>0</v>
      </c>
      <c r="H59" s="530">
        <f>IF(E59="x","x",IF(F59="x","x",0))</f>
        <v>0</v>
      </c>
      <c r="I59" s="530">
        <f>IF(F59="x","x",0)</f>
        <v>0</v>
      </c>
      <c r="J59" s="558">
        <f>IF(D59="x",0,IF(E59="x",C59/2,IF(F59="x",C59,0)))</f>
        <v>0</v>
      </c>
      <c r="K59" s="558"/>
      <c r="L59" s="557"/>
      <c r="P59" s="557"/>
    </row>
    <row r="60" spans="2:16" ht="65.25" customHeight="1" outlineLevel="1">
      <c r="B60" s="1437" t="s">
        <v>434</v>
      </c>
      <c r="C60" s="1426"/>
      <c r="D60" s="570"/>
      <c r="E60" s="570"/>
      <c r="F60" s="570"/>
      <c r="G60" s="530"/>
      <c r="H60" s="530"/>
      <c r="I60" s="530"/>
      <c r="J60" s="554"/>
      <c r="K60" s="541"/>
      <c r="L60" s="540"/>
      <c r="P60" s="540"/>
    </row>
    <row r="61" spans="2:16" ht="31">
      <c r="B61" s="565" t="s">
        <v>309</v>
      </c>
      <c r="C61" s="563">
        <f>_xlfn.XLOOKUP($C$7,'Kriterieneinteilung LNB_QNG'!$AG$5:$AG$8,'Kriterieneinteilung LNB_QNG'!AR5:AR8," ",0,1)</f>
        <v>46</v>
      </c>
      <c r="D61" s="563" t="str">
        <f>IF(K62="Mindestanf.","x"," ")</f>
        <v xml:space="preserve"> </v>
      </c>
      <c r="E61" s="563" t="str">
        <f>IF(K62="Sollwert","x"," ")</f>
        <v xml:space="preserve"> </v>
      </c>
      <c r="F61" s="563" t="str">
        <f>IF(K62="Zielwert","x"," ")</f>
        <v xml:space="preserve"> </v>
      </c>
      <c r="G61" s="297">
        <f>IF(D61="x","x",IF(E61="x","x",IF(F61="x","x",0)))</f>
        <v>0</v>
      </c>
      <c r="J61" s="563">
        <f>IF(D61="x",0,IF(E61="x",C61/2,IF(F61="x",C61,0)))</f>
        <v>0</v>
      </c>
      <c r="K61" s="558"/>
      <c r="L61" s="568"/>
      <c r="P61" s="568"/>
    </row>
    <row r="62" spans="2:16" ht="63.75" customHeight="1" outlineLevel="1">
      <c r="B62" s="1437" t="s">
        <v>308</v>
      </c>
      <c r="C62" s="1426"/>
      <c r="D62" s="1426"/>
      <c r="E62" s="1426"/>
      <c r="F62" s="1426"/>
      <c r="G62" s="1426"/>
      <c r="H62" s="1426"/>
      <c r="I62" s="1426"/>
      <c r="J62" s="1444"/>
      <c r="K62" s="566" t="str">
        <f>IF(Nebenrechnungen!G37="ERFÜLLT","Zielwert",IF(Nebenrechnungen!F37="ERFÜLLT","Sollwert",IF(Nebenrechnungen!E37="ERFÜLLT","Mindest-anforderung","Mindestanf. nicht erfüllt!")))</f>
        <v>Mindestanf. nicht erfüllt!</v>
      </c>
      <c r="L62" s="540"/>
      <c r="N62" s="569" t="s">
        <v>305</v>
      </c>
      <c r="P62" s="540"/>
    </row>
    <row r="63" spans="2:16" ht="15" customHeight="1">
      <c r="B63" s="562" t="s">
        <v>307</v>
      </c>
      <c r="C63" s="558">
        <f>_xlfn.XLOOKUP($C$7,'Kriterieneinteilung LNB_QNG'!$AG$5:$AG$8,'Kriterieneinteilung LNB_QNG'!AS5:AS8," ",0,1)</f>
        <v>68</v>
      </c>
      <c r="D63" s="558" t="str">
        <f>IF($K$64=$M$13,"x"," ")</f>
        <v xml:space="preserve"> </v>
      </c>
      <c r="E63" s="558" t="str">
        <f>IF(K64="Sollwert","x"," ")</f>
        <v xml:space="preserve"> </v>
      </c>
      <c r="F63" s="558" t="str">
        <f>IF(K64="Zielwert","x"," ")</f>
        <v xml:space="preserve"> </v>
      </c>
      <c r="G63" s="530">
        <f>IF(D63="x","x",IF(E63="x","x",IF(F63="x","x",0)))</f>
        <v>0</v>
      </c>
      <c r="H63" s="530"/>
      <c r="I63" s="530"/>
      <c r="J63" s="558" t="str">
        <f>IF(D63="x",0,IF(E63="x",C63/2,IF(F63="x",C63,"0")))</f>
        <v>0</v>
      </c>
      <c r="K63" s="558"/>
      <c r="L63" s="568"/>
      <c r="P63" s="567"/>
    </row>
    <row r="64" spans="2:16" ht="60" customHeight="1" outlineLevel="1">
      <c r="B64" s="1437" t="s">
        <v>306</v>
      </c>
      <c r="C64" s="1426"/>
      <c r="D64" s="561"/>
      <c r="E64" s="561"/>
      <c r="F64" s="561"/>
      <c r="G64" s="530"/>
      <c r="H64" s="556"/>
      <c r="I64" s="556"/>
      <c r="J64" s="554"/>
      <c r="K64" s="541"/>
      <c r="L64" s="540"/>
      <c r="N64" s="297" t="s">
        <v>305</v>
      </c>
      <c r="P64" s="540"/>
    </row>
    <row r="65" spans="2:16" ht="15" customHeight="1">
      <c r="B65" s="565" t="s">
        <v>304</v>
      </c>
      <c r="C65" s="563">
        <f>_xlfn.XLOOKUP($C$7,'Kriterieneinteilung LNB_QNG'!$AG$5:$AG$8,'Kriterieneinteilung LNB_QNG'!AT5:AT8," ",0,1)</f>
        <v>16</v>
      </c>
      <c r="D65" s="564" t="s">
        <v>292</v>
      </c>
      <c r="E65" s="563" t="str">
        <f>IF($K$66="Sollwert","x"," ")</f>
        <v xml:space="preserve"> </v>
      </c>
      <c r="F65" s="563" t="str">
        <f>IF($K$66="Zielwert","x"," ")</f>
        <v xml:space="preserve"> </v>
      </c>
      <c r="G65" s="297">
        <f>IF(D65="x","x",IF(E65="x","x",IF(F65="x","x",0)))</f>
        <v>0</v>
      </c>
      <c r="J65" s="563">
        <f>IF(D65="x",0,IF(E65="x",C65/2,IF(F65="x",C65,0)))</f>
        <v>0</v>
      </c>
      <c r="K65" s="558"/>
      <c r="L65" s="557"/>
      <c r="M65" s="297" t="s">
        <v>290</v>
      </c>
      <c r="P65" s="557"/>
    </row>
    <row r="66" spans="2:16" ht="60" customHeight="1" outlineLevel="1">
      <c r="B66" s="1437" t="s">
        <v>303</v>
      </c>
      <c r="C66" s="1426"/>
      <c r="D66" s="561"/>
      <c r="E66" s="561"/>
      <c r="F66" s="561"/>
      <c r="G66" s="530"/>
      <c r="H66" s="543"/>
      <c r="I66" s="543"/>
      <c r="J66" s="554"/>
      <c r="K66" s="541"/>
      <c r="L66" s="540"/>
      <c r="M66" s="297" t="s">
        <v>226</v>
      </c>
      <c r="P66" s="540"/>
    </row>
    <row r="67" spans="2:16" ht="15" customHeight="1">
      <c r="B67" s="562" t="s">
        <v>302</v>
      </c>
      <c r="C67" s="558">
        <f>_xlfn.XLOOKUP($C$7,'Kriterieneinteilung LNB_QNG'!$AG$5:$AG$8,'Kriterieneinteilung LNB_QNG'!AU5:AU8," ",0,1)</f>
        <v>0</v>
      </c>
      <c r="D67" s="559" t="s">
        <v>292</v>
      </c>
      <c r="E67" s="558" t="str">
        <f>IF($K$68="Sollwert","x"," ")</f>
        <v xml:space="preserve"> </v>
      </c>
      <c r="F67" s="558" t="str">
        <f>IF($K$68="Zielwert","x"," ")</f>
        <v xml:space="preserve"> </v>
      </c>
      <c r="G67" s="530">
        <f>IF(D67="x","x",IF(E67="x","x",IF(F67="x","x",0)))</f>
        <v>0</v>
      </c>
      <c r="H67" s="530"/>
      <c r="I67" s="530"/>
      <c r="J67" s="558">
        <f>IF(D67="x",0,IF(E67="x",C67/2,IF(F67="x",C67,0)))</f>
        <v>0</v>
      </c>
      <c r="K67" s="558"/>
      <c r="L67" s="557"/>
      <c r="M67" s="297" t="s">
        <v>227</v>
      </c>
      <c r="N67" s="297" t="s">
        <v>301</v>
      </c>
      <c r="P67" s="557"/>
    </row>
    <row r="68" spans="2:16" ht="34.5" customHeight="1" outlineLevel="1">
      <c r="B68" s="1423" t="s">
        <v>684</v>
      </c>
      <c r="C68" s="1424"/>
      <c r="D68" s="1424"/>
      <c r="E68" s="561"/>
      <c r="F68" s="561"/>
      <c r="G68" s="530"/>
      <c r="H68" s="543"/>
      <c r="I68" s="543"/>
      <c r="J68" s="554"/>
      <c r="K68" s="541"/>
      <c r="L68" s="540"/>
      <c r="P68" s="540"/>
    </row>
    <row r="69" spans="2:16" ht="15" customHeight="1">
      <c r="B69" s="560" t="s">
        <v>300</v>
      </c>
      <c r="C69" s="558">
        <f>_xlfn.XLOOKUP($C$7,'Kriterieneinteilung LNB_QNG'!$AG$5:$AG$8,'Kriterieneinteilung LNB_QNG'!BB5:BB8," ",0,1)</f>
        <v>30</v>
      </c>
      <c r="D69" s="559" t="s">
        <v>292</v>
      </c>
      <c r="E69" s="559" t="s">
        <v>292</v>
      </c>
      <c r="F69" s="558" t="str">
        <f>IF($K$70="Zielwert","x"," ")</f>
        <v xml:space="preserve"> </v>
      </c>
      <c r="G69" s="530">
        <f>IF(D69="x","x",IF(E69="x","x",IF(F69="x","x",0)))</f>
        <v>0</v>
      </c>
      <c r="H69" s="530">
        <f>IF(E69="x","x",IF(F69="x","x",0))</f>
        <v>0</v>
      </c>
      <c r="I69" s="530">
        <f>IF(F69="x","x",0)</f>
        <v>0</v>
      </c>
      <c r="J69" s="558">
        <f>IF(D69="x",0,IF(E69="x",C69/2,IF(F69="x",C69,0)))</f>
        <v>0</v>
      </c>
      <c r="K69" s="558"/>
      <c r="L69" s="557"/>
      <c r="N69" s="297" t="s">
        <v>299</v>
      </c>
      <c r="P69" s="557"/>
    </row>
    <row r="70" spans="2:16" ht="45" customHeight="1" outlineLevel="1">
      <c r="B70" s="1425" t="s">
        <v>405</v>
      </c>
      <c r="C70" s="1426"/>
      <c r="D70" s="556"/>
      <c r="E70" s="556"/>
      <c r="F70" s="556"/>
      <c r="G70" s="530"/>
      <c r="H70" s="555"/>
      <c r="I70" s="555"/>
      <c r="J70" s="554"/>
      <c r="K70" s="541"/>
      <c r="L70" s="540"/>
      <c r="M70" s="297" t="s">
        <v>290</v>
      </c>
      <c r="P70" s="540"/>
    </row>
    <row r="71" spans="2:16" ht="26">
      <c r="B71" s="553"/>
      <c r="C71" s="551" t="s">
        <v>289</v>
      </c>
      <c r="D71" s="551" t="s">
        <v>298</v>
      </c>
      <c r="E71" s="552" t="s">
        <v>226</v>
      </c>
      <c r="F71" s="552" t="s">
        <v>227</v>
      </c>
      <c r="J71" s="551" t="s">
        <v>288</v>
      </c>
      <c r="K71" s="551" t="s">
        <v>297</v>
      </c>
      <c r="L71" s="550" t="s">
        <v>362</v>
      </c>
      <c r="M71" s="297" t="s">
        <v>227</v>
      </c>
      <c r="P71" s="550" t="s">
        <v>361</v>
      </c>
    </row>
    <row r="72" spans="2:16" ht="20.25" customHeight="1">
      <c r="B72" s="549" t="s">
        <v>296</v>
      </c>
      <c r="C72" s="548">
        <f>SUM(C74+C76)</f>
        <v>30</v>
      </c>
      <c r="D72" s="548"/>
      <c r="E72" s="548"/>
      <c r="F72" s="548"/>
      <c r="G72" s="548"/>
      <c r="H72" s="548"/>
      <c r="I72" s="548"/>
      <c r="J72" s="548">
        <f>SUM(J74+J76)</f>
        <v>0</v>
      </c>
      <c r="K72" s="548"/>
      <c r="L72" s="547"/>
      <c r="P72" s="547"/>
    </row>
    <row r="73" spans="2:16" ht="7.5" customHeight="1">
      <c r="B73" s="546"/>
      <c r="C73" s="545"/>
      <c r="D73" s="545"/>
      <c r="E73" s="545"/>
      <c r="F73" s="545"/>
      <c r="G73" s="545"/>
      <c r="H73" s="545"/>
      <c r="I73" s="545"/>
      <c r="J73" s="545"/>
      <c r="K73" s="545"/>
      <c r="L73" s="540"/>
      <c r="P73" s="540"/>
    </row>
    <row r="74" spans="2:16" ht="15" customHeight="1">
      <c r="B74" s="539" t="s">
        <v>295</v>
      </c>
      <c r="C74" s="537">
        <f>_xlfn.XLOOKUP($C$7,'Kriterieneinteilung LNB_QNG'!$AG$5:$AG$8,'Kriterieneinteilung LNB_QNG'!AX5:AX8," ",0,1)</f>
        <v>30</v>
      </c>
      <c r="D74" s="537" t="str">
        <f>IF($K$75=$M$13,"x"," ")</f>
        <v xml:space="preserve"> </v>
      </c>
      <c r="E74" s="537" t="str">
        <f>IF($K$75="Sollwert","x"," ")</f>
        <v xml:space="preserve"> </v>
      </c>
      <c r="F74" s="537" t="str">
        <f>IF($K$75="Zielwert","x"," ")</f>
        <v xml:space="preserve"> </v>
      </c>
      <c r="G74" s="530">
        <f>IF(D74="x","x",IF(E74="x","x",IF(F74="x","x",0)))</f>
        <v>0</v>
      </c>
      <c r="H74" s="530"/>
      <c r="I74" s="530"/>
      <c r="J74" s="537">
        <f>IF(D74="x",0,IF(E74="x",C74/2,IF(F74="x",C74,0)))</f>
        <v>0</v>
      </c>
      <c r="K74" s="537"/>
      <c r="L74" s="535"/>
      <c r="P74" s="535"/>
    </row>
    <row r="75" spans="2:16" ht="60" customHeight="1" outlineLevel="1">
      <c r="B75" s="1427" t="s">
        <v>294</v>
      </c>
      <c r="C75" s="1428"/>
      <c r="D75" s="544"/>
      <c r="E75" s="544"/>
      <c r="F75" s="544"/>
      <c r="G75" s="530"/>
      <c r="H75" s="543"/>
      <c r="I75" s="543"/>
      <c r="J75" s="542"/>
      <c r="K75" s="541"/>
      <c r="L75" s="540"/>
      <c r="P75" s="540"/>
    </row>
    <row r="76" spans="2:16" ht="15" customHeight="1">
      <c r="B76" s="539" t="s">
        <v>293</v>
      </c>
      <c r="C76" s="537">
        <f>_xlfn.XLOOKUP($C$7,'Kriterieneinteilung LNB_QNG'!$AG$5:$AG$8,'Kriterieneinteilung LNB_QNG'!AZ5:AZ8," ",0,1)</f>
        <v>0</v>
      </c>
      <c r="D76" s="538" t="s">
        <v>292</v>
      </c>
      <c r="E76" s="537" t="str">
        <f>IF($K$77="Sollwert","x"," ")</f>
        <v xml:space="preserve"> </v>
      </c>
      <c r="F76" s="537" t="str">
        <f>IF($K$77="Zielwert","x"," ")</f>
        <v xml:space="preserve"> </v>
      </c>
      <c r="G76" s="530">
        <f>IF(D76="x","x",IF(E76="x","x",IF(F76="x","x",0)))</f>
        <v>0</v>
      </c>
      <c r="H76" s="530"/>
      <c r="I76" s="530"/>
      <c r="J76" s="536">
        <f>IF(D76="x",0,IF(E76="x",C76/2,IF(F76="x",C76,0)))</f>
        <v>0</v>
      </c>
      <c r="K76" s="536"/>
      <c r="L76" s="535"/>
      <c r="N76" s="297" t="s">
        <v>291</v>
      </c>
      <c r="P76" s="535"/>
    </row>
    <row r="77" spans="2:16" ht="63.75" customHeight="1" outlineLevel="1">
      <c r="B77" s="1429" t="s">
        <v>418</v>
      </c>
      <c r="C77" s="1430"/>
      <c r="D77" s="1430"/>
      <c r="E77" s="1430"/>
      <c r="F77" s="1430"/>
      <c r="G77" s="1430"/>
      <c r="H77" s="1430"/>
      <c r="I77" s="1430"/>
      <c r="J77" s="1431"/>
      <c r="K77" s="534"/>
      <c r="L77" s="533"/>
      <c r="P77" s="533"/>
    </row>
    <row r="78" spans="2:16" ht="15" customHeight="1">
      <c r="B78" s="530"/>
      <c r="C78" s="532" t="s">
        <v>289</v>
      </c>
      <c r="D78" s="531"/>
      <c r="E78" s="531"/>
      <c r="F78" s="531"/>
      <c r="G78" s="531"/>
      <c r="H78" s="531"/>
      <c r="I78" s="531"/>
      <c r="J78" s="532" t="s">
        <v>288</v>
      </c>
      <c r="K78" s="531"/>
      <c r="L78" s="530"/>
      <c r="M78" s="530"/>
      <c r="N78" s="530"/>
      <c r="O78" s="530"/>
      <c r="P78" s="530"/>
    </row>
    <row r="79" spans="2:16" ht="20">
      <c r="B79" s="529" t="s">
        <v>6</v>
      </c>
      <c r="C79" s="528">
        <f>C38+C10+C55+C72</f>
        <v>1000</v>
      </c>
      <c r="D79" s="528"/>
      <c r="E79" s="527"/>
      <c r="F79" s="526"/>
      <c r="G79" s="526"/>
      <c r="H79" s="525"/>
      <c r="I79" s="525"/>
      <c r="J79" s="524">
        <f>J38+J10+J55+J72</f>
        <v>0</v>
      </c>
      <c r="K79" s="524"/>
      <c r="L79" s="523"/>
      <c r="P79" s="523"/>
    </row>
    <row r="80" spans="2:16" ht="15.5" customHeight="1">
      <c r="G80" s="297" t="str">
        <f>IF(G81&gt;20,"erfüllt","nicht erfüllt")</f>
        <v>nicht erfüllt</v>
      </c>
      <c r="H80" s="297" t="str">
        <f>IF(J79&gt;749.9,"erfüllt","nicht erfüllt")</f>
        <v>nicht erfüllt</v>
      </c>
      <c r="I80" s="297">
        <f>COUNTIF(G80:H80,"erfüllt")</f>
        <v>0</v>
      </c>
    </row>
    <row r="81" spans="3:11" ht="32.25" customHeight="1">
      <c r="C81" s="1432" t="s">
        <v>287</v>
      </c>
      <c r="D81" s="1432"/>
      <c r="E81" s="1432"/>
      <c r="F81" s="1432"/>
      <c r="G81" s="297">
        <f>COUNTIF(G12:G79,"x")</f>
        <v>0</v>
      </c>
      <c r="H81" s="297">
        <f>COUNTIF(H12:H79,"x")</f>
        <v>0</v>
      </c>
      <c r="I81" s="297">
        <f>COUNTIF(I12:I79,"x")</f>
        <v>0</v>
      </c>
      <c r="J81" s="522" t="str">
        <f>IF(I80=2,"zertifizierbar","nicht zertifizierbar")</f>
        <v>nicht zertifizierbar</v>
      </c>
    </row>
    <row r="83" spans="3:11" ht="15.5">
      <c r="C83" s="1421" t="s">
        <v>286</v>
      </c>
      <c r="D83" s="1421"/>
      <c r="E83" s="1421"/>
      <c r="F83" s="1421"/>
      <c r="G83" s="521"/>
      <c r="H83" s="521"/>
      <c r="I83" s="521"/>
      <c r="J83" s="521" t="str">
        <f>IF(COUNTIF(H12:H69,"x")=7,"Erreicht","Nicht erreicht")</f>
        <v>Nicht erreicht</v>
      </c>
      <c r="K83" s="520"/>
    </row>
    <row r="84" spans="3:11" ht="15.5">
      <c r="C84" s="1421" t="s">
        <v>285</v>
      </c>
      <c r="D84" s="1421"/>
      <c r="E84" s="1421"/>
      <c r="F84" s="1421"/>
      <c r="G84" s="521"/>
      <c r="H84" s="521"/>
      <c r="I84" s="521"/>
      <c r="J84" s="521" t="str">
        <f>IF(COUNTIF(I12:I69,"x")=7,"Erreicht","Nicht erreicht")</f>
        <v>Nicht erreicht</v>
      </c>
      <c r="K84" s="520"/>
    </row>
    <row r="86" spans="3:11" ht="15.5">
      <c r="C86" s="1422"/>
      <c r="D86" s="1422"/>
      <c r="E86" s="1422"/>
      <c r="F86" s="1422"/>
      <c r="J86" s="520"/>
    </row>
  </sheetData>
  <sheetProtection algorithmName="SHA-512" hashValue="8xa7FI6KtVMfLGIYRfltlJOlZI4bQ4k5sbuLfiAl5Y7UCIGsnDKb47fp36Jhg8nRBKOtYBWfagXa3kFOJR6oxw==" saltValue="vwc8Er3VubjWgSykl57Rsg==" spinCount="100000" sheet="1" formatCells="0" formatRows="0"/>
  <protectedRanges>
    <protectedRange sqref="K64" name="Bereich11_1"/>
    <protectedRange sqref="K77" name="Bereich20"/>
    <protectedRange sqref="K75" name="Bereich19"/>
    <protectedRange sqref="K70" name="Bereich18"/>
    <protectedRange sqref="K68" name="Bereich17"/>
    <protectedRange sqref="K66" name="Bereich16"/>
    <protectedRange sqref="K60 K58" name="Bereich14"/>
    <protectedRange sqref="K50:K51" name="Bereich12"/>
    <protectedRange sqref="K47" name="Bereich11"/>
    <protectedRange sqref="K45" name="Bereich10"/>
    <protectedRange sqref="K41:K43" name="Bereich9"/>
    <protectedRange sqref="E41:F43" name="Bereich8"/>
    <protectedRange sqref="K34" name="Bereich7"/>
    <protectedRange sqref="K29:K32" name="Bereich6"/>
    <protectedRange sqref="K24:K27" name="Bereich5"/>
    <protectedRange sqref="K21" name="Bereich4"/>
    <protectedRange sqref="K15:K17" name="Bereich2"/>
    <protectedRange sqref="L13 P13" name="Bereich23"/>
    <protectedRange sqref="P15:P17 L15:L17" name="Bereich24"/>
    <protectedRange sqref="P12 L12" name="Bereich25"/>
    <protectedRange sqref="L18:L19 P18:P19" name="Bereich26"/>
    <protectedRange sqref="L21 P21" name="Bereich27"/>
    <protectedRange sqref="L23:L32 P23:P32" name="Bereich28"/>
    <protectedRange sqref="P34:P36 L34:L36" name="Bereich29"/>
    <protectedRange sqref="L41:L43 P41:P43" name="Bereich30"/>
    <protectedRange sqref="L45:L47 P45 P47" name="Bereich31"/>
    <protectedRange sqref="P49:P53 L49:L53" name="Bereich32"/>
    <protectedRange sqref="L57:L58 P57:P58" name="Bereich33"/>
    <protectedRange sqref="P60:P64 L60:L64" name="Bereich34"/>
    <protectedRange sqref="L66 P66" name="Bereich35"/>
    <protectedRange sqref="L68 P68" name="Bereich36"/>
    <protectedRange sqref="L70 P70" name="Bereich37"/>
    <protectedRange sqref="L75 P75" name="Bereich38"/>
    <protectedRange sqref="L77 P77" name="Bereich39"/>
  </protectedRanges>
  <dataConsolidate/>
  <mergeCells count="54">
    <mergeCell ref="C7:D7"/>
    <mergeCell ref="B2:F2"/>
    <mergeCell ref="K2:L2"/>
    <mergeCell ref="C4:D4"/>
    <mergeCell ref="C5:D5"/>
    <mergeCell ref="C6:D6"/>
    <mergeCell ref="B13:C13"/>
    <mergeCell ref="B15:J15"/>
    <mergeCell ref="L15:L17"/>
    <mergeCell ref="P15:P17"/>
    <mergeCell ref="B16:J16"/>
    <mergeCell ref="B17:J17"/>
    <mergeCell ref="B19:C19"/>
    <mergeCell ref="B21:C21"/>
    <mergeCell ref="B23:C23"/>
    <mergeCell ref="L23:L32"/>
    <mergeCell ref="P23:P32"/>
    <mergeCell ref="B24:J24"/>
    <mergeCell ref="B25:J25"/>
    <mergeCell ref="B26:J26"/>
    <mergeCell ref="B27:J27"/>
    <mergeCell ref="B28:C28"/>
    <mergeCell ref="B45:C45"/>
    <mergeCell ref="B29:J29"/>
    <mergeCell ref="B30:J30"/>
    <mergeCell ref="B31:J31"/>
    <mergeCell ref="B32:J32"/>
    <mergeCell ref="B34:C34"/>
    <mergeCell ref="B36:C36"/>
    <mergeCell ref="B41:J41"/>
    <mergeCell ref="L41:L43"/>
    <mergeCell ref="P41:P43"/>
    <mergeCell ref="B42:J42"/>
    <mergeCell ref="B43:J43"/>
    <mergeCell ref="B66:C66"/>
    <mergeCell ref="B47:C47"/>
    <mergeCell ref="B49:C49"/>
    <mergeCell ref="L49:L51"/>
    <mergeCell ref="P49:P51"/>
    <mergeCell ref="B50:J50"/>
    <mergeCell ref="B51:J51"/>
    <mergeCell ref="B53:C53"/>
    <mergeCell ref="B58:C58"/>
    <mergeCell ref="B60:C60"/>
    <mergeCell ref="B62:J62"/>
    <mergeCell ref="B64:C64"/>
    <mergeCell ref="C84:F84"/>
    <mergeCell ref="C86:F86"/>
    <mergeCell ref="B68:D68"/>
    <mergeCell ref="B70:C70"/>
    <mergeCell ref="B75:C75"/>
    <mergeCell ref="B77:J77"/>
    <mergeCell ref="C81:F81"/>
    <mergeCell ref="C83:F83"/>
  </mergeCells>
  <conditionalFormatting sqref="J81">
    <cfRule type="cellIs" dxfId="17" priority="13" operator="equal">
      <formula>$M$10</formula>
    </cfRule>
    <cfRule type="cellIs" dxfId="16" priority="14" operator="equal">
      <formula>$M$11</formula>
    </cfRule>
  </conditionalFormatting>
  <conditionalFormatting sqref="K19 K68 K70 K75 K77">
    <cfRule type="cellIs" dxfId="14" priority="5" operator="equal">
      <formula>$M$12</formula>
    </cfRule>
  </conditionalFormatting>
  <conditionalFormatting sqref="K21">
    <cfRule type="cellIs" dxfId="13" priority="12" operator="greaterThanOrEqual">
      <formula>20.01</formula>
    </cfRule>
  </conditionalFormatting>
  <conditionalFormatting sqref="K34">
    <cfRule type="cellIs" dxfId="12" priority="6" operator="equal">
      <formula>$M$12</formula>
    </cfRule>
  </conditionalFormatting>
  <conditionalFormatting sqref="K45">
    <cfRule type="cellIs" dxfId="11" priority="7" operator="equal">
      <formula>$M$12</formula>
    </cfRule>
  </conditionalFormatting>
  <conditionalFormatting sqref="K47">
    <cfRule type="cellIs" dxfId="10" priority="8" operator="equal">
      <formula>$M$12</formula>
    </cfRule>
  </conditionalFormatting>
  <conditionalFormatting sqref="K49">
    <cfRule type="cellIs" dxfId="9" priority="11" operator="lessThan">
      <formula>$D$49</formula>
    </cfRule>
  </conditionalFormatting>
  <conditionalFormatting sqref="K53">
    <cfRule type="cellIs" dxfId="8" priority="2" operator="equal">
      <formula>$M$12</formula>
    </cfRule>
  </conditionalFormatting>
  <conditionalFormatting sqref="K58">
    <cfRule type="cellIs" dxfId="7" priority="9" operator="equal">
      <formula>$M$12</formula>
    </cfRule>
  </conditionalFormatting>
  <conditionalFormatting sqref="K60">
    <cfRule type="cellIs" dxfId="6" priority="3" operator="equal">
      <formula>$M$12</formula>
    </cfRule>
  </conditionalFormatting>
  <conditionalFormatting sqref="K62">
    <cfRule type="cellIs" dxfId="5" priority="4" operator="equal">
      <formula>$M$12</formula>
    </cfRule>
  </conditionalFormatting>
  <conditionalFormatting sqref="K64">
    <cfRule type="cellIs" dxfId="4" priority="1" operator="equal">
      <formula>$M$12</formula>
    </cfRule>
  </conditionalFormatting>
  <conditionalFormatting sqref="K66">
    <cfRule type="cellIs" dxfId="3" priority="10" operator="equal">
      <formula>$M$12</formula>
    </cfRule>
  </conditionalFormatting>
  <dataValidations count="4">
    <dataValidation type="list" allowBlank="1" showInputMessage="1" showErrorMessage="1" sqref="C6" xr:uid="{32F81E4A-11C9-4655-A124-840E30B82006}">
      <formula1>$O$4:$O$5</formula1>
    </dataValidation>
    <dataValidation type="list" allowBlank="1" showInputMessage="1" showErrorMessage="1" sqref="K75 K47 K45 K64" xr:uid="{41973875-1091-46BD-B409-1312446E9A0B}">
      <formula1>$M$12:$M$15</formula1>
    </dataValidation>
    <dataValidation type="list" allowBlank="1" showInputMessage="1" showErrorMessage="1" sqref="K70" xr:uid="{72C244FE-E103-44D1-A034-28314C27C7C9}">
      <formula1>$M$70:$M$71</formula1>
    </dataValidation>
    <dataValidation type="list" allowBlank="1" showInputMessage="1" showErrorMessage="1" sqref="K66 K60 K68 K58 K77 K34" xr:uid="{34BCA369-AD20-4D02-B9F3-32B7A0F2B469}">
      <formula1>$M$65:$M$67</formula1>
    </dataValidation>
  </dataValidations>
  <hyperlinks>
    <hyperlink ref="B12" r:id="rId1" location="%5B%7B%22num%22%3A28%2C%22gen%22%3A0%7D%2C%7B%22name%22%3A%22XYZ%22%7D%2C68%2C712%2C0%5D" xr:uid="{CE30F054-E05E-4F8A-954A-0882024C46D8}"/>
    <hyperlink ref="B40" r:id="rId2" location="%5B%7B%22num%22%3A31%2C%22gen%22%3A0%7D%2C%7B%22name%22%3A%22XYZ%22%7D%2C68%2C712%2C0%5D" xr:uid="{E5682281-A35B-4C1F-9D77-5DCB1A9836F7}"/>
    <hyperlink ref="B14" r:id="rId3" location="%5B%7B%22num%22%3A39%2C%22gen%22%3A0%7D%2C%7B%22name%22%3A%22XYZ%22%7D%2C68%2C712%2C0%5D" xr:uid="{15B44D71-7301-4E86-84F8-163AC97AB690}"/>
    <hyperlink ref="B18" r:id="rId4" location="%5B%7B%22num%22%3A48%2C%22gen%22%3A0%7D%2C%7B%22name%22%3A%22XYZ%22%7D%2C68%2C712%2C0%5D" xr:uid="{21B2D9A0-2C6E-41E5-B5F7-F19211D08245}"/>
    <hyperlink ref="B20" r:id="rId5" location="%5B%7B%22num%22%3A51%2C%22gen%22%3A0%7D%2C%7B%22name%22%3A%22XYZ%22%7D%2C68%2C712%2C0%5D" xr:uid="{AD1BE9B8-86F7-4FC6-A65B-974112F31612}"/>
    <hyperlink ref="B22" r:id="rId6" location="%5B%7B%22num%22%3A86%2C%22gen%22%3A0%7D%2C%7B%22name%22%3A%22XYZ%22%7D%2C68%2C712%2C0%5D" xr:uid="{6E2A68DF-623E-47BC-A9B4-0F1D14F12FD5}"/>
    <hyperlink ref="B33" r:id="rId7" location="%5B%7B%22num%22%3A99%2C%22gen%22%3A0%7D%2C%7B%22name%22%3A%22XYZ%22%7D%2C68%2C712%2C0%5D" xr:uid="{34CE4177-FCCA-428F-9314-A59005BD2BD5}"/>
    <hyperlink ref="B35" r:id="rId8" location="%5B%7B%22num%22%3A106%2C%22gen%22%3A0%7D%2C%7B%22name%22%3A%22XYZ%22%7D%2C68%2C712%2C0%5D" xr:uid="{19246293-A3CB-45BE-884B-B6B7067A3148}"/>
    <hyperlink ref="B44" r:id="rId9" location="%5B%7B%22num%22%3A42%2C%22gen%22%3A0%7D%2C%7B%22name%22%3A%22XYZ%22%7D%2C68%2C712%2C0%5D" xr:uid="{DCE40551-1AF5-4020-9C3E-C075AED4962D}"/>
    <hyperlink ref="B46" r:id="rId10" location="%5B%7B%22num%22%3A64%2C%22gen%22%3A0%7D%2C%7B%22name%22%3A%22XYZ%22%7D%2C68%2C712%2C0%5D" xr:uid="{6EB6072F-4698-4ED3-B5F3-EE3CA16230C9}"/>
    <hyperlink ref="B48" r:id="rId11" location="%5B%7B%22num%22%3A68%2C%22gen%22%3A0%7D%2C%7B%22name%22%3A%22XYZ%22%7D%2C68%2C712%2C0%5D" xr:uid="{640412C4-0115-4B0A-927C-3E27EA738910}"/>
    <hyperlink ref="B52" r:id="rId12" location="%5B%7B%22num%22%3A90%2C%22gen%22%3A0%7D%2C%7B%22name%22%3A%22XYZ%22%7D%2C68%2C712%2C0%5D" xr:uid="{726AB195-FBE0-470E-8022-98704C112063}"/>
    <hyperlink ref="B57" r:id="rId13" location="%5B%7B%22num%22%3A54%2C%22gen%22%3A0%7D%2C%7B%22name%22%3A%22XYZ%22%7D%2C68%2C712%2C0%5D" xr:uid="{111B2AF0-0827-4127-82AB-5FB15E5093FF}"/>
    <hyperlink ref="B59" r:id="rId14" location="%5B%7B%22num%22%3A57%2C%22gen%22%3A0%7D%2C%7B%22name%22%3A%22XYZ%22%7D%2C68%2C712%2C0%5D" xr:uid="{79C9FECF-69A6-4019-9DB2-797CE8CD4B5D}"/>
    <hyperlink ref="B61" r:id="rId15" location="%5B%7B%22num%22%3A71%2C%22gen%22%3A0%7D%2C%7B%22name%22%3A%22XYZ%22%7D%2C68%2C712%2C0%5D" display="10 - Erfüllung von Nutzeranforderungen inkl. Qualitäts-kontrolle der Bauausführung" xr:uid="{633BDEF4-91E3-4D08-A2AE-1069B33636F4}"/>
    <hyperlink ref="B63" r:id="rId16" location="%5B%7B%22num%22%3A74%2C%22gen%22%3A0%7D%2C%7B%22name%22%3A%22XYZ%22%7D%2C68%2C712%2C0%5D" xr:uid="{80DFA559-1229-4A92-A5C0-E9B75DE850A1}"/>
    <hyperlink ref="B65" r:id="rId17" location="%5B%7B%22num%22%3A80%2C%22gen%22%3A0%7D%2C%7B%22name%22%3A%22XYZ%22%7D%2C68%2C712%2C0%5D" xr:uid="{17347D57-58AA-4B26-8422-56629EFA936E}"/>
    <hyperlink ref="B67" r:id="rId18" location="%5B%7B%22num%22%3A83%2C%22gen%22%3A0%7D%2C%7B%22name%22%3A%22XYZ%22%7D%2C68%2C712%2C0%5D" xr:uid="{A813BBA9-E052-4175-949A-9C3A044FA633}"/>
    <hyperlink ref="B69" r:id="rId19" location="%5B%7B%22num%22%3A102%2C%22gen%22%3A0%7D%2C%7B%22name%22%3A%22XYZ%22%7D%2C68%2C712%2C0%5D" xr:uid="{4F0FB084-209B-4A94-BBB4-FEA9DB8D1C35}"/>
    <hyperlink ref="B74" r:id="rId20" location="%5B%7B%22num%22%3A93%2C%22gen%22%3A0%7D%2C%7B%22name%22%3A%22XYZ%22%7D%2C68%2C712%2C0%5D" xr:uid="{242778AC-AB91-489C-ABA6-607C9298561F}"/>
    <hyperlink ref="B76" r:id="rId21" location="%5B%7B%22num%22%3A96%2C%22gen%22%3A0%7D%2C%7B%22name%22%3A%22XYZ%22%7D%2C68%2C712%2C0%5D" xr:uid="{EDAABC9A-8BB1-43BF-9ABF-402CDBA6A174}"/>
  </hyperlinks>
  <pageMargins left="0.25" right="0.25" top="0.75" bottom="0.75" header="0.3" footer="0.3"/>
  <pageSetup paperSize="8" scale="56" orientation="portrait" horizontalDpi="300" verticalDpi="300" r:id="rId22"/>
  <extLst>
    <ext xmlns:x14="http://schemas.microsoft.com/office/spreadsheetml/2009/9/main" uri="{78C0D931-6437-407d-A8EE-F0AAD7539E65}">
      <x14:conditionalFormattings>
        <x14:conditionalFormatting xmlns:xm="http://schemas.microsoft.com/office/excel/2006/main">
          <x14:cfRule type="containsText" priority="15" operator="containsText" id="{3A352189-B2EA-4689-9FC9-933856B56CFA}">
            <xm:f>NOT(ISERROR(SEARCH($M$12,K5)))</xm:f>
            <xm:f>$M$12</xm:f>
            <x14:dxf>
              <font>
                <strike val="0"/>
              </font>
              <fill>
                <patternFill>
                  <bgColor rgb="FFFF0000"/>
                </patternFill>
              </fill>
            </x14:dxf>
          </x14:cfRule>
          <xm:sqref>K5</xm:sqref>
        </x14:conditionalFormatting>
      </x14:conditionalFormatting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D21DC3-6525-47EE-A3B9-8199326A77F3}">
  <dimension ref="B1:M168"/>
  <sheetViews>
    <sheetView tabSelected="1" topLeftCell="A121" zoomScale="80" zoomScaleNormal="80" workbookViewId="0">
      <selection activeCell="C133" sqref="C133"/>
    </sheetView>
  </sheetViews>
  <sheetFormatPr baseColWidth="10" defaultRowHeight="12.5"/>
  <cols>
    <col min="1" max="1" width="5.36328125" style="297" customWidth="1"/>
    <col min="2" max="2" width="63.81640625" style="297" bestFit="1" customWidth="1"/>
    <col min="3" max="3" width="33.6328125" style="297" customWidth="1"/>
    <col min="4" max="4" width="28.6328125" style="519" customWidth="1"/>
    <col min="5" max="5" width="20" style="297" customWidth="1"/>
    <col min="6" max="6" width="21" style="297" customWidth="1"/>
    <col min="7" max="7" width="20" style="297" customWidth="1"/>
    <col min="8" max="8" width="10.7265625" style="297" hidden="1" customWidth="1"/>
    <col min="9" max="9" width="19.90625" style="297" hidden="1" customWidth="1"/>
    <col min="10" max="11" width="11.36328125" style="297" hidden="1" customWidth="1"/>
    <col min="12" max="12" width="31.26953125" style="297" hidden="1" customWidth="1"/>
    <col min="13" max="13" width="10.90625" style="297" hidden="1" customWidth="1"/>
    <col min="14" max="16383" width="10.90625" style="297"/>
    <col min="16384" max="16384" width="11.36328125" style="297" customWidth="1"/>
  </cols>
  <sheetData>
    <row r="1" spans="2:11" ht="66" customHeight="1">
      <c r="B1" s="973" t="s">
        <v>629</v>
      </c>
    </row>
    <row r="3" spans="2:11" ht="30.75" customHeight="1" thickBot="1">
      <c r="B3" s="974" t="s">
        <v>630</v>
      </c>
    </row>
    <row r="4" spans="2:11" ht="24.75" customHeight="1" thickBot="1">
      <c r="C4" s="728" t="s">
        <v>211</v>
      </c>
      <c r="D4" s="975" t="s">
        <v>50</v>
      </c>
      <c r="F4" s="1475" t="s">
        <v>385</v>
      </c>
    </row>
    <row r="5" spans="2:11" ht="25" customHeight="1">
      <c r="B5" s="675" t="s">
        <v>631</v>
      </c>
      <c r="C5" s="976"/>
      <c r="D5" s="977"/>
      <c r="F5" s="1476"/>
      <c r="H5" s="519">
        <v>0</v>
      </c>
    </row>
    <row r="6" spans="2:11" ht="25" customHeight="1">
      <c r="B6" s="674" t="s">
        <v>632</v>
      </c>
      <c r="C6" s="452"/>
      <c r="D6" s="977"/>
      <c r="F6" s="589"/>
      <c r="G6" s="978" t="s">
        <v>43</v>
      </c>
      <c r="H6" s="725">
        <v>1</v>
      </c>
      <c r="I6" s="725"/>
      <c r="J6" s="140"/>
      <c r="K6" s="140"/>
    </row>
    <row r="7" spans="2:11" ht="25" customHeight="1" thickBot="1">
      <c r="B7" s="673" t="s">
        <v>633</v>
      </c>
      <c r="C7" s="418"/>
      <c r="D7" s="977"/>
      <c r="F7" s="677"/>
      <c r="G7" s="297" t="s">
        <v>402</v>
      </c>
      <c r="H7" s="519">
        <v>2</v>
      </c>
      <c r="I7" s="519"/>
      <c r="J7" s="140"/>
      <c r="K7" s="140"/>
    </row>
    <row r="8" spans="2:11" ht="25" customHeight="1" thickBot="1">
      <c r="B8" s="979" t="s">
        <v>634</v>
      </c>
      <c r="C8" s="980" t="str">
        <f>IF(C6+C7&gt;0,C5-C7-(C6/2),"")</f>
        <v/>
      </c>
      <c r="D8" s="977"/>
      <c r="E8" s="676"/>
      <c r="H8" s="519"/>
      <c r="I8" s="140"/>
      <c r="J8" s="140"/>
      <c r="K8" s="140"/>
    </row>
    <row r="9" spans="2:11" ht="25" customHeight="1" thickBot="1">
      <c r="B9" s="672" t="s">
        <v>635</v>
      </c>
      <c r="C9" s="453">
        <f>IF(AND(ISNUMBER(C5),ISNUMBER(C8)),C8/C5,0)</f>
        <v>0</v>
      </c>
      <c r="D9" s="977"/>
      <c r="I9" s="725"/>
      <c r="J9" s="140"/>
      <c r="K9" s="140"/>
    </row>
    <row r="10" spans="2:11" ht="25" customHeight="1" thickBot="1">
      <c r="B10" s="728" t="s">
        <v>485</v>
      </c>
      <c r="C10" s="451" t="str">
        <f>IF(C6+C7&gt;C5,"Werte kontrollieren!","OK")</f>
        <v>OK</v>
      </c>
      <c r="D10" s="977"/>
      <c r="I10" s="140"/>
      <c r="J10" s="140"/>
      <c r="K10" s="140"/>
    </row>
    <row r="11" spans="2:11">
      <c r="I11" s="140"/>
      <c r="J11" s="140"/>
      <c r="K11" s="140"/>
    </row>
    <row r="12" spans="2:11" ht="25.5" customHeight="1">
      <c r="I12" s="140"/>
      <c r="J12" s="140"/>
      <c r="K12" s="140"/>
    </row>
    <row r="13" spans="2:11" ht="30" customHeight="1">
      <c r="B13" s="974" t="s">
        <v>636</v>
      </c>
      <c r="I13" s="140"/>
      <c r="J13" s="140"/>
      <c r="K13" s="140"/>
    </row>
    <row r="14" spans="2:11" ht="25" customHeight="1" thickBot="1">
      <c r="B14" s="649"/>
      <c r="C14" s="161"/>
      <c r="D14" s="975" t="s">
        <v>50</v>
      </c>
      <c r="I14" s="140"/>
      <c r="J14" s="140"/>
      <c r="K14" s="464"/>
    </row>
    <row r="15" spans="2:11" ht="24.75" customHeight="1" thickBot="1">
      <c r="B15" s="981" t="s">
        <v>396</v>
      </c>
      <c r="C15" s="449"/>
      <c r="D15" s="977"/>
      <c r="I15" s="140"/>
      <c r="J15" s="140"/>
      <c r="K15" s="464"/>
    </row>
    <row r="16" spans="2:11" ht="24.75" customHeight="1" thickBot="1">
      <c r="B16" s="1477" t="s">
        <v>221</v>
      </c>
      <c r="C16" s="1478"/>
      <c r="D16" s="977"/>
      <c r="I16" s="140"/>
      <c r="J16" s="140"/>
      <c r="K16" s="464"/>
    </row>
    <row r="17" spans="2:11" ht="24.75" customHeight="1">
      <c r="B17" s="982" t="s">
        <v>394</v>
      </c>
      <c r="C17" s="983"/>
      <c r="D17" s="977"/>
      <c r="I17" s="140"/>
      <c r="J17" s="140"/>
      <c r="K17" s="464"/>
    </row>
    <row r="18" spans="2:11" ht="24.75" customHeight="1" thickBot="1">
      <c r="B18" s="984" t="s">
        <v>393</v>
      </c>
      <c r="C18" s="985"/>
      <c r="D18" s="977"/>
      <c r="I18" s="140"/>
      <c r="J18" s="140"/>
      <c r="K18" s="464"/>
    </row>
    <row r="19" spans="2:11" ht="24.75" customHeight="1" thickBot="1">
      <c r="B19" s="981" t="s">
        <v>392</v>
      </c>
      <c r="C19" s="986" t="str">
        <f>IF(C17="Ja",C18*40," ")</f>
        <v xml:space="preserve"> </v>
      </c>
      <c r="D19" s="977"/>
      <c r="I19" s="140"/>
      <c r="J19" s="140"/>
      <c r="K19" s="464"/>
    </row>
    <row r="20" spans="2:11" ht="24.75" customHeight="1">
      <c r="B20" s="987" t="s">
        <v>391</v>
      </c>
      <c r="C20" s="983"/>
      <c r="D20" s="977"/>
      <c r="I20" s="140"/>
      <c r="J20" s="140"/>
      <c r="K20" s="464"/>
    </row>
    <row r="21" spans="2:11" ht="24.75" customHeight="1">
      <c r="B21" s="988" t="s">
        <v>216</v>
      </c>
      <c r="C21" s="989"/>
      <c r="D21" s="977"/>
      <c r="I21" s="140"/>
      <c r="J21" s="140"/>
      <c r="K21" s="464"/>
    </row>
    <row r="22" spans="2:11" ht="24.75" customHeight="1">
      <c r="B22" s="988" t="s">
        <v>217</v>
      </c>
      <c r="C22" s="989"/>
      <c r="D22" s="977"/>
      <c r="I22" s="140"/>
      <c r="J22" s="140"/>
      <c r="K22" s="464"/>
    </row>
    <row r="23" spans="2:11" ht="24.75" customHeight="1" thickBot="1">
      <c r="B23" s="984" t="s">
        <v>218</v>
      </c>
      <c r="C23" s="985"/>
      <c r="D23" s="977"/>
      <c r="I23" s="140"/>
      <c r="J23" s="140"/>
      <c r="K23" s="464"/>
    </row>
    <row r="24" spans="2:11" ht="24.75" customHeight="1" thickBot="1">
      <c r="B24" s="981" t="s">
        <v>390</v>
      </c>
      <c r="C24" s="986" t="str">
        <f>IF(C20="Ja",C21*2*(C22*30+C23*10)," ")</f>
        <v xml:space="preserve"> </v>
      </c>
      <c r="D24" s="977"/>
      <c r="I24" s="140"/>
      <c r="J24" s="140"/>
      <c r="K24" s="464"/>
    </row>
    <row r="25" spans="2:11" ht="24.75" customHeight="1" thickBot="1">
      <c r="B25" s="990" t="s">
        <v>220</v>
      </c>
      <c r="C25" s="991"/>
      <c r="D25" s="977"/>
      <c r="I25" s="140"/>
      <c r="J25" s="140"/>
      <c r="K25" s="464"/>
    </row>
    <row r="26" spans="2:11" ht="24.75" customHeight="1" thickBot="1">
      <c r="B26" s="981" t="s">
        <v>389</v>
      </c>
      <c r="C26" s="986">
        <f>C25*40</f>
        <v>0</v>
      </c>
      <c r="D26" s="977"/>
      <c r="I26" s="140"/>
      <c r="J26" s="140"/>
      <c r="K26" s="464"/>
    </row>
    <row r="27" spans="2:11" ht="24.75" customHeight="1" thickBot="1">
      <c r="B27" s="990" t="s">
        <v>213</v>
      </c>
      <c r="C27" s="992" t="s">
        <v>215</v>
      </c>
      <c r="D27" s="977"/>
      <c r="I27" s="140"/>
      <c r="J27" s="140"/>
      <c r="K27" s="464"/>
    </row>
    <row r="28" spans="2:11" ht="24.75" customHeight="1" thickBot="1">
      <c r="B28" s="981" t="s">
        <v>221</v>
      </c>
      <c r="C28" s="986">
        <f>IF(C27="Bewässerung/WCs",IF(C20="Ja",C21*2*(C22*30+C23*10),0)+IF(C17="Ja",C18*40,0),C25*40)</f>
        <v>0</v>
      </c>
      <c r="D28" s="977"/>
      <c r="I28" s="140"/>
      <c r="J28" s="140"/>
      <c r="K28" s="464"/>
    </row>
    <row r="29" spans="2:11" ht="24.75" customHeight="1" thickBot="1">
      <c r="B29" s="993" t="s">
        <v>388</v>
      </c>
      <c r="C29" s="994"/>
      <c r="D29" s="977"/>
      <c r="I29" s="140"/>
      <c r="J29" s="140"/>
      <c r="K29" s="464"/>
    </row>
    <row r="30" spans="2:11" ht="15.75" customHeight="1">
      <c r="I30" s="140"/>
      <c r="J30" s="140"/>
      <c r="K30" s="464"/>
    </row>
    <row r="31" spans="2:11" ht="15.75" customHeight="1">
      <c r="I31" s="140"/>
      <c r="J31" s="140"/>
      <c r="K31" s="464"/>
    </row>
    <row r="32" spans="2:11" ht="30" customHeight="1">
      <c r="B32" s="974" t="s">
        <v>637</v>
      </c>
      <c r="I32" s="140"/>
      <c r="J32" s="140"/>
      <c r="K32" s="464"/>
    </row>
    <row r="33" spans="2:12" ht="30" customHeight="1">
      <c r="B33" s="995" t="s">
        <v>638</v>
      </c>
      <c r="F33" s="308"/>
      <c r="G33" s="161"/>
      <c r="H33" s="161"/>
      <c r="I33" s="161"/>
      <c r="J33" s="161"/>
      <c r="K33" s="161"/>
    </row>
    <row r="34" spans="2:12" ht="30" customHeight="1" thickBot="1">
      <c r="F34" s="308"/>
      <c r="G34" s="161"/>
      <c r="H34" s="161"/>
      <c r="J34" s="161"/>
      <c r="K34" s="161"/>
    </row>
    <row r="35" spans="2:12" ht="30" customHeight="1" thickBot="1">
      <c r="B35" s="170"/>
      <c r="C35" s="671" t="s">
        <v>223</v>
      </c>
      <c r="D35" s="996" t="s">
        <v>50</v>
      </c>
      <c r="E35" s="1479" t="s">
        <v>639</v>
      </c>
      <c r="F35" s="1480"/>
      <c r="G35" s="1478"/>
      <c r="H35" s="161"/>
      <c r="I35" s="466"/>
      <c r="J35" s="161"/>
      <c r="K35" s="161"/>
    </row>
    <row r="36" spans="2:12" ht="30" customHeight="1">
      <c r="B36" s="997" t="s">
        <v>222</v>
      </c>
      <c r="C36" s="670" t="str">
        <f>IF(AND(ISNUMBER(E58),ISNUMBER(H58)),H58/E58," ")</f>
        <v xml:space="preserve"> </v>
      </c>
      <c r="D36" s="998"/>
      <c r="E36" s="669" t="s">
        <v>399</v>
      </c>
      <c r="F36" s="668" t="s">
        <v>238</v>
      </c>
      <c r="G36" s="667" t="s">
        <v>234</v>
      </c>
      <c r="H36" s="161"/>
      <c r="I36" s="466"/>
      <c r="J36" s="161"/>
      <c r="K36" s="161"/>
    </row>
    <row r="37" spans="2:12" ht="30" customHeight="1" thickBot="1">
      <c r="B37" s="999" t="s">
        <v>33</v>
      </c>
      <c r="C37" s="1000" t="str">
        <f>IF(AND(ISNUMBER(E76),ISNUMBER(H76)),H76/E76," ")</f>
        <v xml:space="preserve"> </v>
      </c>
      <c r="D37" s="1001"/>
      <c r="E37" s="666" t="str">
        <f>IF(AND(I39="ERFÜLLT",C38=I58,C39=I76),"Erfüllt","Nicht erfüllt")</f>
        <v>Nicht erfüllt</v>
      </c>
      <c r="F37" s="665" t="str">
        <f>IF(AND(J39="ERFÜLLT",C38=J58,C39=J76),"Erfüllt","Nicht erfüllt")</f>
        <v>Nicht erfüllt</v>
      </c>
      <c r="G37" s="664" t="str">
        <f>IF(AND(K39="ERFÜLLT",C38=K58,C39=K76),"Erfüllt","Nicht erfüllt")</f>
        <v>Nicht erfüllt</v>
      </c>
      <c r="H37" s="161"/>
      <c r="I37" s="466"/>
      <c r="J37" s="161"/>
      <c r="K37" s="161"/>
    </row>
    <row r="38" spans="2:12" ht="30" customHeight="1">
      <c r="B38" s="1002" t="s">
        <v>235</v>
      </c>
      <c r="C38" s="1003">
        <f>COUNTIF(F43:F57,"&gt;0")</f>
        <v>0</v>
      </c>
      <c r="D38" s="1004"/>
      <c r="H38" s="455" t="s">
        <v>224</v>
      </c>
      <c r="I38" s="455" t="s">
        <v>225</v>
      </c>
      <c r="J38" s="456" t="s">
        <v>226</v>
      </c>
      <c r="K38" s="456" t="s">
        <v>227</v>
      </c>
    </row>
    <row r="39" spans="2:12" ht="30" customHeight="1" thickBot="1">
      <c r="B39" s="1005" t="s">
        <v>237</v>
      </c>
      <c r="C39" s="657">
        <f>COUNTIF(F61:F75,"&gt;0")</f>
        <v>0</v>
      </c>
      <c r="D39" s="977"/>
      <c r="H39" s="457" t="s">
        <v>228</v>
      </c>
      <c r="I39" s="458" t="str">
        <f>IF(AND($C$36&lt;=2999.99,$C$37&lt;=0.99),"ERFÜLLT","Nicht erfüllt")</f>
        <v>Nicht erfüllt</v>
      </c>
      <c r="J39" s="458" t="str">
        <f>IF(AND($C$36&lt;=499.99,$C$37&lt;=0.079),"ERFÜLLT","Nicht erfüllt")</f>
        <v>Nicht erfüllt</v>
      </c>
      <c r="K39" s="458" t="str">
        <f>IF(AND($C$36&lt;=299.99,$C$37&lt;=0.039),"ERFÜLLT","Nicht erfüllt")</f>
        <v>Nicht erfüllt</v>
      </c>
    </row>
    <row r="40" spans="2:12" ht="30" customHeight="1" thickBot="1">
      <c r="B40" s="678" t="s">
        <v>240</v>
      </c>
      <c r="C40" s="653" t="str">
        <f>IF(C38=C39,"Ja","NEIN")</f>
        <v>Ja</v>
      </c>
      <c r="D40" s="977"/>
      <c r="F40" s="308"/>
      <c r="G40" s="161"/>
      <c r="H40" s="161"/>
      <c r="I40" s="466"/>
      <c r="J40" s="161"/>
      <c r="K40" s="161"/>
    </row>
    <row r="41" spans="2:12" ht="24.75" customHeight="1" thickBot="1">
      <c r="B41" s="448"/>
      <c r="F41" s="308"/>
      <c r="G41" s="161"/>
      <c r="H41" s="161"/>
      <c r="I41" s="466" t="s">
        <v>243</v>
      </c>
      <c r="J41" s="161"/>
      <c r="K41" s="161"/>
    </row>
    <row r="42" spans="2:12" ht="36" customHeight="1" thickBot="1">
      <c r="B42" s="902" t="s">
        <v>222</v>
      </c>
      <c r="C42" s="903"/>
      <c r="D42" s="904"/>
      <c r="E42" s="467" t="s">
        <v>244</v>
      </c>
      <c r="F42" s="468" t="s">
        <v>245</v>
      </c>
      <c r="G42" s="467" t="s">
        <v>246</v>
      </c>
      <c r="H42" s="1006" t="s">
        <v>247</v>
      </c>
      <c r="I42" s="658" t="s">
        <v>225</v>
      </c>
      <c r="J42" s="273" t="s">
        <v>248</v>
      </c>
      <c r="K42" s="1007" t="s">
        <v>227</v>
      </c>
      <c r="L42" s="975" t="s">
        <v>50</v>
      </c>
    </row>
    <row r="43" spans="2:12" ht="24.75" customHeight="1">
      <c r="B43" s="729" t="s">
        <v>249</v>
      </c>
      <c r="C43" s="730" t="s">
        <v>250</v>
      </c>
      <c r="D43" s="663"/>
      <c r="E43" s="663"/>
      <c r="F43" s="655"/>
      <c r="G43" s="473" t="str">
        <f t="shared" ref="G43:G57" si="0">IF(AND(F43&gt;0,F43&lt;=299.99),1,IF(AND(F43&gt;=300,F43&lt;=499.99),2,IF(AND(F43&gt;=500,F43&lt;=999.99),3,IF(AND(F43&gt;=1000,F43&lt;=2999.99),4,IF(F43&gt;=3000,5,"")))))</f>
        <v/>
      </c>
      <c r="H43" s="1008">
        <f>E43*F43</f>
        <v>0</v>
      </c>
      <c r="I43" s="654" t="str">
        <f t="shared" ref="I43:I57" si="1">IF(AND(F43&gt;0,G43&lt;=4),"ERFÜLLT",IF(F43=0," ","nicht erfüllt"))</f>
        <v xml:space="preserve"> </v>
      </c>
      <c r="J43" s="657" t="str">
        <f t="shared" ref="J43:J57" si="2">IF(AND(F43&gt;0,G43&lt;4),"ERFÜLLT",IF(F43=0," ","nicht erfüllt"))</f>
        <v xml:space="preserve"> </v>
      </c>
      <c r="K43" s="1009" t="str">
        <f t="shared" ref="K43:K57" si="3">IF(AND(F43&gt;0,G43&lt;4),"ERFÜLLT",IF(F43=0," ","nicht erfüllt"))</f>
        <v xml:space="preserve"> </v>
      </c>
      <c r="L43" s="540"/>
    </row>
    <row r="44" spans="2:12" ht="24.75" customHeight="1">
      <c r="B44" s="729" t="s">
        <v>251</v>
      </c>
      <c r="C44" s="730" t="s">
        <v>250</v>
      </c>
      <c r="D44" s="662"/>
      <c r="E44" s="662"/>
      <c r="F44" s="655"/>
      <c r="G44" s="473" t="str">
        <f t="shared" si="0"/>
        <v/>
      </c>
      <c r="H44" s="1008">
        <f>E44*F44</f>
        <v>0</v>
      </c>
      <c r="I44" s="654" t="str">
        <f t="shared" si="1"/>
        <v xml:space="preserve"> </v>
      </c>
      <c r="J44" s="657" t="str">
        <f t="shared" si="2"/>
        <v xml:space="preserve"> </v>
      </c>
      <c r="K44" s="1009" t="str">
        <f t="shared" si="3"/>
        <v xml:space="preserve"> </v>
      </c>
      <c r="L44" s="540"/>
    </row>
    <row r="45" spans="2:12" ht="24.75" customHeight="1">
      <c r="B45" s="729" t="s">
        <v>252</v>
      </c>
      <c r="C45" s="730" t="s">
        <v>250</v>
      </c>
      <c r="D45" s="662"/>
      <c r="E45" s="663"/>
      <c r="F45" s="655"/>
      <c r="G45" s="473" t="str">
        <f t="shared" si="0"/>
        <v/>
      </c>
      <c r="H45" s="1008">
        <f t="shared" ref="H45:H57" si="4">E45*F45</f>
        <v>0</v>
      </c>
      <c r="I45" s="654" t="str">
        <f t="shared" si="1"/>
        <v xml:space="preserve"> </v>
      </c>
      <c r="J45" s="657" t="str">
        <f t="shared" si="2"/>
        <v xml:space="preserve"> </v>
      </c>
      <c r="K45" s="1009" t="str">
        <f t="shared" si="3"/>
        <v xml:space="preserve"> </v>
      </c>
      <c r="L45" s="540"/>
    </row>
    <row r="46" spans="2:12" ht="24.75" customHeight="1">
      <c r="B46" s="729" t="s">
        <v>253</v>
      </c>
      <c r="C46" s="730" t="s">
        <v>250</v>
      </c>
      <c r="D46" s="662"/>
      <c r="E46" s="663"/>
      <c r="F46" s="655"/>
      <c r="G46" s="473" t="str">
        <f t="shared" si="0"/>
        <v/>
      </c>
      <c r="H46" s="1008">
        <f t="shared" si="4"/>
        <v>0</v>
      </c>
      <c r="I46" s="654" t="str">
        <f t="shared" si="1"/>
        <v xml:space="preserve"> </v>
      </c>
      <c r="J46" s="657" t="str">
        <f t="shared" si="2"/>
        <v xml:space="preserve"> </v>
      </c>
      <c r="K46" s="1009" t="str">
        <f t="shared" si="3"/>
        <v xml:space="preserve"> </v>
      </c>
      <c r="L46" s="540"/>
    </row>
    <row r="47" spans="2:12" ht="24.75" customHeight="1">
      <c r="B47" s="729" t="s">
        <v>254</v>
      </c>
      <c r="C47" s="730" t="s">
        <v>250</v>
      </c>
      <c r="D47" s="662"/>
      <c r="E47" s="663"/>
      <c r="F47" s="655"/>
      <c r="G47" s="473" t="str">
        <f t="shared" si="0"/>
        <v/>
      </c>
      <c r="H47" s="1008">
        <f t="shared" si="4"/>
        <v>0</v>
      </c>
      <c r="I47" s="654" t="str">
        <f t="shared" si="1"/>
        <v xml:space="preserve"> </v>
      </c>
      <c r="J47" s="657" t="str">
        <f t="shared" si="2"/>
        <v xml:space="preserve"> </v>
      </c>
      <c r="K47" s="1009" t="str">
        <f t="shared" si="3"/>
        <v xml:space="preserve"> </v>
      </c>
      <c r="L47" s="540"/>
    </row>
    <row r="48" spans="2:12" ht="24.75" customHeight="1">
      <c r="B48" s="729" t="s">
        <v>255</v>
      </c>
      <c r="C48" s="730" t="s">
        <v>250</v>
      </c>
      <c r="D48" s="662"/>
      <c r="E48" s="662"/>
      <c r="F48" s="655"/>
      <c r="G48" s="473" t="str">
        <f t="shared" si="0"/>
        <v/>
      </c>
      <c r="H48" s="1008">
        <f t="shared" si="4"/>
        <v>0</v>
      </c>
      <c r="I48" s="654" t="str">
        <f t="shared" si="1"/>
        <v xml:space="preserve"> </v>
      </c>
      <c r="J48" s="657" t="str">
        <f t="shared" si="2"/>
        <v xml:space="preserve"> </v>
      </c>
      <c r="K48" s="1009" t="str">
        <f t="shared" si="3"/>
        <v xml:space="preserve"> </v>
      </c>
      <c r="L48" s="540"/>
    </row>
    <row r="49" spans="2:12" ht="24.75" customHeight="1">
      <c r="B49" s="729" t="s">
        <v>256</v>
      </c>
      <c r="C49" s="730" t="s">
        <v>250</v>
      </c>
      <c r="D49" s="662"/>
      <c r="E49" s="663"/>
      <c r="F49" s="655"/>
      <c r="G49" s="473" t="str">
        <f t="shared" si="0"/>
        <v/>
      </c>
      <c r="H49" s="1008">
        <f t="shared" si="4"/>
        <v>0</v>
      </c>
      <c r="I49" s="654" t="str">
        <f t="shared" si="1"/>
        <v xml:space="preserve"> </v>
      </c>
      <c r="J49" s="657" t="str">
        <f t="shared" si="2"/>
        <v xml:space="preserve"> </v>
      </c>
      <c r="K49" s="1009" t="str">
        <f t="shared" si="3"/>
        <v xml:space="preserve"> </v>
      </c>
      <c r="L49" s="540"/>
    </row>
    <row r="50" spans="2:12" ht="24.75" customHeight="1">
      <c r="B50" s="729" t="s">
        <v>257</v>
      </c>
      <c r="C50" s="730" t="s">
        <v>250</v>
      </c>
      <c r="D50" s="662"/>
      <c r="E50" s="662"/>
      <c r="F50" s="655"/>
      <c r="G50" s="473" t="str">
        <f t="shared" si="0"/>
        <v/>
      </c>
      <c r="H50" s="1008">
        <f t="shared" si="4"/>
        <v>0</v>
      </c>
      <c r="I50" s="654" t="str">
        <f t="shared" si="1"/>
        <v xml:space="preserve"> </v>
      </c>
      <c r="J50" s="657" t="str">
        <f t="shared" si="2"/>
        <v xml:space="preserve"> </v>
      </c>
      <c r="K50" s="1009" t="str">
        <f t="shared" si="3"/>
        <v xml:space="preserve"> </v>
      </c>
      <c r="L50" s="540"/>
    </row>
    <row r="51" spans="2:12" ht="24.75" customHeight="1">
      <c r="B51" s="729" t="s">
        <v>258</v>
      </c>
      <c r="C51" s="730" t="s">
        <v>250</v>
      </c>
      <c r="D51" s="662"/>
      <c r="E51" s="663"/>
      <c r="F51" s="655"/>
      <c r="G51" s="473" t="str">
        <f t="shared" si="0"/>
        <v/>
      </c>
      <c r="H51" s="1008">
        <f t="shared" si="4"/>
        <v>0</v>
      </c>
      <c r="I51" s="654" t="str">
        <f t="shared" si="1"/>
        <v xml:space="preserve"> </v>
      </c>
      <c r="J51" s="657" t="str">
        <f t="shared" si="2"/>
        <v xml:space="preserve"> </v>
      </c>
      <c r="K51" s="1009" t="str">
        <f t="shared" si="3"/>
        <v xml:space="preserve"> </v>
      </c>
      <c r="L51" s="540"/>
    </row>
    <row r="52" spans="2:12" ht="24.75" customHeight="1">
      <c r="B52" s="729" t="s">
        <v>259</v>
      </c>
      <c r="C52" s="730" t="s">
        <v>250</v>
      </c>
      <c r="D52" s="662"/>
      <c r="E52" s="662"/>
      <c r="F52" s="655"/>
      <c r="G52" s="473" t="str">
        <f t="shared" si="0"/>
        <v/>
      </c>
      <c r="H52" s="1008">
        <f t="shared" si="4"/>
        <v>0</v>
      </c>
      <c r="I52" s="654" t="str">
        <f t="shared" si="1"/>
        <v xml:space="preserve"> </v>
      </c>
      <c r="J52" s="657" t="str">
        <f t="shared" si="2"/>
        <v xml:space="preserve"> </v>
      </c>
      <c r="K52" s="1009" t="str">
        <f t="shared" si="3"/>
        <v xml:space="preserve"> </v>
      </c>
      <c r="L52" s="540"/>
    </row>
    <row r="53" spans="2:12" ht="24.75" customHeight="1">
      <c r="B53" s="729" t="s">
        <v>260</v>
      </c>
      <c r="C53" s="730" t="s">
        <v>250</v>
      </c>
      <c r="D53" s="662"/>
      <c r="E53" s="663"/>
      <c r="F53" s="655"/>
      <c r="G53" s="473" t="str">
        <f t="shared" si="0"/>
        <v/>
      </c>
      <c r="H53" s="1008">
        <f t="shared" si="4"/>
        <v>0</v>
      </c>
      <c r="I53" s="654" t="str">
        <f t="shared" si="1"/>
        <v xml:space="preserve"> </v>
      </c>
      <c r="J53" s="657" t="str">
        <f t="shared" si="2"/>
        <v xml:space="preserve"> </v>
      </c>
      <c r="K53" s="1009" t="str">
        <f t="shared" si="3"/>
        <v xml:space="preserve"> </v>
      </c>
      <c r="L53" s="540"/>
    </row>
    <row r="54" spans="2:12" ht="24.75" customHeight="1">
      <c r="B54" s="729" t="s">
        <v>261</v>
      </c>
      <c r="C54" s="730" t="s">
        <v>250</v>
      </c>
      <c r="D54" s="662"/>
      <c r="E54" s="662"/>
      <c r="F54" s="655"/>
      <c r="G54" s="473" t="str">
        <f t="shared" si="0"/>
        <v/>
      </c>
      <c r="H54" s="1008">
        <f t="shared" si="4"/>
        <v>0</v>
      </c>
      <c r="I54" s="654" t="str">
        <f t="shared" si="1"/>
        <v xml:space="preserve"> </v>
      </c>
      <c r="J54" s="657" t="str">
        <f t="shared" si="2"/>
        <v xml:space="preserve"> </v>
      </c>
      <c r="K54" s="1009" t="str">
        <f t="shared" si="3"/>
        <v xml:space="preserve"> </v>
      </c>
      <c r="L54" s="540"/>
    </row>
    <row r="55" spans="2:12" ht="24.75" customHeight="1">
      <c r="B55" s="729" t="s">
        <v>262</v>
      </c>
      <c r="C55" s="730" t="s">
        <v>250</v>
      </c>
      <c r="D55" s="662"/>
      <c r="E55" s="663"/>
      <c r="F55" s="655"/>
      <c r="G55" s="473" t="str">
        <f t="shared" si="0"/>
        <v/>
      </c>
      <c r="H55" s="1008">
        <f t="shared" si="4"/>
        <v>0</v>
      </c>
      <c r="I55" s="654" t="str">
        <f t="shared" si="1"/>
        <v xml:space="preserve"> </v>
      </c>
      <c r="J55" s="657" t="str">
        <f t="shared" si="2"/>
        <v xml:space="preserve"> </v>
      </c>
      <c r="K55" s="1009" t="str">
        <f t="shared" si="3"/>
        <v xml:space="preserve"> </v>
      </c>
      <c r="L55" s="540"/>
    </row>
    <row r="56" spans="2:12" ht="24.75" customHeight="1">
      <c r="B56" s="729" t="s">
        <v>263</v>
      </c>
      <c r="C56" s="730" t="s">
        <v>250</v>
      </c>
      <c r="D56" s="662"/>
      <c r="E56" s="662"/>
      <c r="F56" s="655"/>
      <c r="G56" s="473" t="str">
        <f t="shared" si="0"/>
        <v/>
      </c>
      <c r="H56" s="1008">
        <f t="shared" si="4"/>
        <v>0</v>
      </c>
      <c r="I56" s="654" t="str">
        <f t="shared" si="1"/>
        <v xml:space="preserve"> </v>
      </c>
      <c r="J56" s="657" t="str">
        <f t="shared" si="2"/>
        <v xml:space="preserve"> </v>
      </c>
      <c r="K56" s="1009" t="str">
        <f t="shared" si="3"/>
        <v xml:space="preserve"> </v>
      </c>
      <c r="L56" s="540"/>
    </row>
    <row r="57" spans="2:12" ht="24.75" customHeight="1" thickBot="1">
      <c r="B57" s="731" t="s">
        <v>264</v>
      </c>
      <c r="C57" s="730" t="s">
        <v>250</v>
      </c>
      <c r="D57" s="1010"/>
      <c r="E57" s="661"/>
      <c r="F57" s="655"/>
      <c r="G57" s="660" t="str">
        <f t="shared" si="0"/>
        <v/>
      </c>
      <c r="H57" s="1011">
        <f t="shared" si="4"/>
        <v>0</v>
      </c>
      <c r="I57" s="654" t="str">
        <f t="shared" si="1"/>
        <v xml:space="preserve"> </v>
      </c>
      <c r="J57" s="653" t="str">
        <f t="shared" si="2"/>
        <v xml:space="preserve"> </v>
      </c>
      <c r="K57" s="1009" t="str">
        <f t="shared" si="3"/>
        <v xml:space="preserve"> </v>
      </c>
      <c r="L57" s="540"/>
    </row>
    <row r="58" spans="2:12" ht="24.75" customHeight="1" thickBot="1">
      <c r="B58" s="905" t="s">
        <v>20</v>
      </c>
      <c r="C58" s="906"/>
      <c r="D58" s="907"/>
      <c r="E58" s="1012" t="str">
        <f>IF(SUM(E43:E57)&gt;0,SUM(E43:E57)," ")</f>
        <v xml:space="preserve"> </v>
      </c>
      <c r="F58" s="477"/>
      <c r="G58" s="659"/>
      <c r="H58" s="1013" t="str">
        <f>IF(SUM(H43:H57)&gt;0,SUM(H43:H57)," ")</f>
        <v xml:space="preserve"> </v>
      </c>
      <c r="I58" s="652">
        <f>COUNTIF(I43:I57,"ERFÜLLT")</f>
        <v>0</v>
      </c>
      <c r="J58" s="651">
        <f>COUNTIF(J43:J57,"ERFÜLLT")</f>
        <v>0</v>
      </c>
      <c r="K58" s="1014">
        <f>COUNTIF(K43:K57,"ERFÜLLT")</f>
        <v>0</v>
      </c>
      <c r="L58" s="540"/>
    </row>
    <row r="59" spans="2:12" ht="24.75" customHeight="1" thickBot="1">
      <c r="B59" s="161"/>
      <c r="C59" s="161"/>
      <c r="D59" s="306"/>
      <c r="E59" s="161"/>
      <c r="F59" s="308"/>
      <c r="G59" s="161"/>
      <c r="H59" s="161"/>
      <c r="I59" s="218"/>
      <c r="J59" s="218"/>
      <c r="K59" s="218"/>
    </row>
    <row r="60" spans="2:12" ht="36" customHeight="1" thickBot="1">
      <c r="B60" s="902" t="s">
        <v>33</v>
      </c>
      <c r="C60" s="903"/>
      <c r="D60" s="904"/>
      <c r="E60" s="467" t="s">
        <v>244</v>
      </c>
      <c r="F60" s="468" t="s">
        <v>265</v>
      </c>
      <c r="G60" s="467" t="s">
        <v>246</v>
      </c>
      <c r="H60" s="1006" t="s">
        <v>247</v>
      </c>
      <c r="I60" s="658" t="s">
        <v>225</v>
      </c>
      <c r="J60" s="273" t="s">
        <v>248</v>
      </c>
      <c r="K60" s="1007" t="s">
        <v>227</v>
      </c>
      <c r="L60" s="975" t="s">
        <v>50</v>
      </c>
    </row>
    <row r="61" spans="2:12" ht="24.75" customHeight="1">
      <c r="B61" s="732" t="s">
        <v>249</v>
      </c>
      <c r="C61" s="730" t="s">
        <v>250</v>
      </c>
      <c r="D61" s="656" t="str">
        <f t="shared" ref="D61:E75" si="5">IF(ISBLANK(D43)," ",D43)</f>
        <v xml:space="preserve"> </v>
      </c>
      <c r="E61" s="656" t="str">
        <f>IF(ISBLANK(E43)," ",E43)</f>
        <v xml:space="preserve"> </v>
      </c>
      <c r="F61" s="655"/>
      <c r="G61" s="473" t="str">
        <f t="shared" ref="G61:G75" si="6">IF(AND(F61&gt;0,F61&lt;=0.039),1,IF(AND(F61&gt;=0.04,F61&lt;=0.079),2,IF(AND(F61&gt;=0.08,F61&lt;=0.099),3,IF(F61&gt;=0.1,4,""))))</f>
        <v/>
      </c>
      <c r="H61" s="1015">
        <f t="shared" ref="H61:H75" si="7">IF(E61=" ",0,E61*F61)</f>
        <v>0</v>
      </c>
      <c r="I61" s="654" t="str">
        <f t="shared" ref="I61:I75" si="8">IF(AND(F61&gt;0,G61&lt;=4),"ERFÜLLT",IF(F61=0," ","nicht erfüllt"))</f>
        <v xml:space="preserve"> </v>
      </c>
      <c r="J61" s="657" t="str">
        <f t="shared" ref="J61:J75" si="9">IF(AND(F61&gt;0,G61&lt;4),"ERFÜLLT",IF(F61=0," ","nicht erfüllt"))</f>
        <v xml:space="preserve"> </v>
      </c>
      <c r="K61" s="1009" t="str">
        <f t="shared" ref="K61:K75" si="10">IF(AND(F61&gt;0,G61&lt;4),"ERFÜLLT",IF(F61=0," ","nicht erfüllt"))</f>
        <v xml:space="preserve"> </v>
      </c>
      <c r="L61" s="540"/>
    </row>
    <row r="62" spans="2:12" ht="24.75" customHeight="1">
      <c r="B62" s="732" t="s">
        <v>251</v>
      </c>
      <c r="C62" s="730" t="s">
        <v>250</v>
      </c>
      <c r="D62" s="656" t="str">
        <f t="shared" si="5"/>
        <v xml:space="preserve"> </v>
      </c>
      <c r="E62" s="656" t="str">
        <f>IF(ISBLANK(E44)," ",E44)</f>
        <v xml:space="preserve"> </v>
      </c>
      <c r="F62" s="655"/>
      <c r="G62" s="473" t="str">
        <f t="shared" si="6"/>
        <v/>
      </c>
      <c r="H62" s="1015">
        <f t="shared" si="7"/>
        <v>0</v>
      </c>
      <c r="I62" s="654" t="str">
        <f t="shared" si="8"/>
        <v xml:space="preserve"> </v>
      </c>
      <c r="J62" s="657" t="str">
        <f t="shared" si="9"/>
        <v xml:space="preserve"> </v>
      </c>
      <c r="K62" s="1009" t="str">
        <f t="shared" si="10"/>
        <v xml:space="preserve"> </v>
      </c>
      <c r="L62" s="540"/>
    </row>
    <row r="63" spans="2:12" ht="24.75" customHeight="1">
      <c r="B63" s="732" t="s">
        <v>252</v>
      </c>
      <c r="C63" s="730" t="s">
        <v>250</v>
      </c>
      <c r="D63" s="656" t="str">
        <f t="shared" si="5"/>
        <v xml:space="preserve"> </v>
      </c>
      <c r="E63" s="656" t="str">
        <f t="shared" si="5"/>
        <v xml:space="preserve"> </v>
      </c>
      <c r="F63" s="655"/>
      <c r="G63" s="473" t="str">
        <f t="shared" si="6"/>
        <v/>
      </c>
      <c r="H63" s="1015">
        <f t="shared" si="7"/>
        <v>0</v>
      </c>
      <c r="I63" s="654" t="str">
        <f t="shared" si="8"/>
        <v xml:space="preserve"> </v>
      </c>
      <c r="J63" s="657" t="str">
        <f t="shared" si="9"/>
        <v xml:space="preserve"> </v>
      </c>
      <c r="K63" s="1009" t="str">
        <f t="shared" si="10"/>
        <v xml:space="preserve"> </v>
      </c>
      <c r="L63" s="540"/>
    </row>
    <row r="64" spans="2:12" ht="24.75" customHeight="1">
      <c r="B64" s="732" t="s">
        <v>253</v>
      </c>
      <c r="C64" s="730" t="s">
        <v>250</v>
      </c>
      <c r="D64" s="656" t="str">
        <f t="shared" si="5"/>
        <v xml:space="preserve"> </v>
      </c>
      <c r="E64" s="656" t="str">
        <f t="shared" si="5"/>
        <v xml:space="preserve"> </v>
      </c>
      <c r="F64" s="655"/>
      <c r="G64" s="473" t="str">
        <f t="shared" si="6"/>
        <v/>
      </c>
      <c r="H64" s="1015">
        <f t="shared" si="7"/>
        <v>0</v>
      </c>
      <c r="I64" s="654" t="str">
        <f t="shared" si="8"/>
        <v xml:space="preserve"> </v>
      </c>
      <c r="J64" s="657" t="str">
        <f t="shared" si="9"/>
        <v xml:space="preserve"> </v>
      </c>
      <c r="K64" s="1009" t="str">
        <f t="shared" si="10"/>
        <v xml:space="preserve"> </v>
      </c>
      <c r="L64" s="540"/>
    </row>
    <row r="65" spans="2:12" ht="24.75" customHeight="1">
      <c r="B65" s="732" t="s">
        <v>254</v>
      </c>
      <c r="C65" s="730" t="s">
        <v>250</v>
      </c>
      <c r="D65" s="656" t="str">
        <f t="shared" si="5"/>
        <v xml:space="preserve"> </v>
      </c>
      <c r="E65" s="656" t="str">
        <f t="shared" si="5"/>
        <v xml:space="preserve"> </v>
      </c>
      <c r="F65" s="655"/>
      <c r="G65" s="473" t="str">
        <f t="shared" si="6"/>
        <v/>
      </c>
      <c r="H65" s="1015">
        <f t="shared" si="7"/>
        <v>0</v>
      </c>
      <c r="I65" s="654" t="str">
        <f t="shared" si="8"/>
        <v xml:space="preserve"> </v>
      </c>
      <c r="J65" s="657" t="str">
        <f t="shared" si="9"/>
        <v xml:space="preserve"> </v>
      </c>
      <c r="K65" s="1009" t="str">
        <f t="shared" si="10"/>
        <v xml:space="preserve"> </v>
      </c>
      <c r="L65" s="540"/>
    </row>
    <row r="66" spans="2:12" ht="24.75" customHeight="1">
      <c r="B66" s="732" t="s">
        <v>255</v>
      </c>
      <c r="C66" s="730" t="s">
        <v>250</v>
      </c>
      <c r="D66" s="656" t="str">
        <f t="shared" si="5"/>
        <v xml:space="preserve"> </v>
      </c>
      <c r="E66" s="656" t="str">
        <f t="shared" si="5"/>
        <v xml:space="preserve"> </v>
      </c>
      <c r="F66" s="655"/>
      <c r="G66" s="473" t="str">
        <f t="shared" si="6"/>
        <v/>
      </c>
      <c r="H66" s="1015">
        <f t="shared" si="7"/>
        <v>0</v>
      </c>
      <c r="I66" s="654" t="str">
        <f t="shared" si="8"/>
        <v xml:space="preserve"> </v>
      </c>
      <c r="J66" s="657" t="str">
        <f t="shared" si="9"/>
        <v xml:space="preserve"> </v>
      </c>
      <c r="K66" s="1009" t="str">
        <f t="shared" si="10"/>
        <v xml:space="preserve"> </v>
      </c>
      <c r="L66" s="540"/>
    </row>
    <row r="67" spans="2:12" ht="24.75" customHeight="1">
      <c r="B67" s="732" t="s">
        <v>256</v>
      </c>
      <c r="C67" s="730" t="s">
        <v>250</v>
      </c>
      <c r="D67" s="656" t="str">
        <f t="shared" si="5"/>
        <v xml:space="preserve"> </v>
      </c>
      <c r="E67" s="656" t="str">
        <f t="shared" si="5"/>
        <v xml:space="preserve"> </v>
      </c>
      <c r="F67" s="655"/>
      <c r="G67" s="473" t="str">
        <f t="shared" si="6"/>
        <v/>
      </c>
      <c r="H67" s="1015">
        <f t="shared" si="7"/>
        <v>0</v>
      </c>
      <c r="I67" s="654" t="str">
        <f t="shared" si="8"/>
        <v xml:space="preserve"> </v>
      </c>
      <c r="J67" s="657" t="str">
        <f t="shared" si="9"/>
        <v xml:space="preserve"> </v>
      </c>
      <c r="K67" s="1009" t="str">
        <f t="shared" si="10"/>
        <v xml:space="preserve"> </v>
      </c>
      <c r="L67" s="540"/>
    </row>
    <row r="68" spans="2:12" ht="24.75" customHeight="1">
      <c r="B68" s="732" t="s">
        <v>257</v>
      </c>
      <c r="C68" s="730" t="s">
        <v>250</v>
      </c>
      <c r="D68" s="656" t="str">
        <f t="shared" si="5"/>
        <v xml:space="preserve"> </v>
      </c>
      <c r="E68" s="656" t="str">
        <f t="shared" si="5"/>
        <v xml:space="preserve"> </v>
      </c>
      <c r="F68" s="655"/>
      <c r="G68" s="473" t="str">
        <f t="shared" si="6"/>
        <v/>
      </c>
      <c r="H68" s="1015">
        <f t="shared" si="7"/>
        <v>0</v>
      </c>
      <c r="I68" s="654" t="str">
        <f t="shared" si="8"/>
        <v xml:space="preserve"> </v>
      </c>
      <c r="J68" s="657" t="str">
        <f t="shared" si="9"/>
        <v xml:space="preserve"> </v>
      </c>
      <c r="K68" s="1009" t="str">
        <f t="shared" si="10"/>
        <v xml:space="preserve"> </v>
      </c>
      <c r="L68" s="540"/>
    </row>
    <row r="69" spans="2:12" ht="24.75" customHeight="1">
      <c r="B69" s="732" t="s">
        <v>258</v>
      </c>
      <c r="C69" s="730" t="s">
        <v>250</v>
      </c>
      <c r="D69" s="656" t="str">
        <f t="shared" si="5"/>
        <v xml:space="preserve"> </v>
      </c>
      <c r="E69" s="656" t="str">
        <f t="shared" si="5"/>
        <v xml:space="preserve"> </v>
      </c>
      <c r="F69" s="655"/>
      <c r="G69" s="473" t="str">
        <f t="shared" si="6"/>
        <v/>
      </c>
      <c r="H69" s="1015">
        <f t="shared" si="7"/>
        <v>0</v>
      </c>
      <c r="I69" s="654" t="str">
        <f t="shared" si="8"/>
        <v xml:space="preserve"> </v>
      </c>
      <c r="J69" s="657" t="str">
        <f t="shared" si="9"/>
        <v xml:space="preserve"> </v>
      </c>
      <c r="K69" s="1009" t="str">
        <f t="shared" si="10"/>
        <v xml:space="preserve"> </v>
      </c>
      <c r="L69" s="540"/>
    </row>
    <row r="70" spans="2:12" ht="24.75" customHeight="1">
      <c r="B70" s="732" t="s">
        <v>259</v>
      </c>
      <c r="C70" s="730" t="s">
        <v>250</v>
      </c>
      <c r="D70" s="656" t="str">
        <f t="shared" si="5"/>
        <v xml:space="preserve"> </v>
      </c>
      <c r="E70" s="656" t="str">
        <f t="shared" si="5"/>
        <v xml:space="preserve"> </v>
      </c>
      <c r="F70" s="655"/>
      <c r="G70" s="473" t="str">
        <f t="shared" si="6"/>
        <v/>
      </c>
      <c r="H70" s="1015">
        <f t="shared" si="7"/>
        <v>0</v>
      </c>
      <c r="I70" s="654" t="str">
        <f t="shared" si="8"/>
        <v xml:space="preserve"> </v>
      </c>
      <c r="J70" s="657" t="str">
        <f t="shared" si="9"/>
        <v xml:space="preserve"> </v>
      </c>
      <c r="K70" s="1009" t="str">
        <f t="shared" si="10"/>
        <v xml:space="preserve"> </v>
      </c>
      <c r="L70" s="540"/>
    </row>
    <row r="71" spans="2:12" ht="24.75" customHeight="1">
      <c r="B71" s="732" t="s">
        <v>260</v>
      </c>
      <c r="C71" s="730" t="s">
        <v>250</v>
      </c>
      <c r="D71" s="656" t="str">
        <f t="shared" si="5"/>
        <v xml:space="preserve"> </v>
      </c>
      <c r="E71" s="656" t="str">
        <f t="shared" si="5"/>
        <v xml:space="preserve"> </v>
      </c>
      <c r="F71" s="655"/>
      <c r="G71" s="473" t="str">
        <f t="shared" si="6"/>
        <v/>
      </c>
      <c r="H71" s="1015">
        <f t="shared" si="7"/>
        <v>0</v>
      </c>
      <c r="I71" s="654" t="str">
        <f t="shared" si="8"/>
        <v xml:space="preserve"> </v>
      </c>
      <c r="J71" s="657" t="str">
        <f t="shared" si="9"/>
        <v xml:space="preserve"> </v>
      </c>
      <c r="K71" s="1009" t="str">
        <f t="shared" si="10"/>
        <v xml:space="preserve"> </v>
      </c>
      <c r="L71" s="540"/>
    </row>
    <row r="72" spans="2:12" ht="24.75" customHeight="1">
      <c r="B72" s="732" t="s">
        <v>261</v>
      </c>
      <c r="C72" s="730" t="s">
        <v>250</v>
      </c>
      <c r="D72" s="656" t="str">
        <f t="shared" si="5"/>
        <v xml:space="preserve"> </v>
      </c>
      <c r="E72" s="656" t="str">
        <f t="shared" si="5"/>
        <v xml:space="preserve"> </v>
      </c>
      <c r="F72" s="655"/>
      <c r="G72" s="473" t="str">
        <f t="shared" si="6"/>
        <v/>
      </c>
      <c r="H72" s="1015">
        <f t="shared" si="7"/>
        <v>0</v>
      </c>
      <c r="I72" s="654" t="str">
        <f t="shared" si="8"/>
        <v xml:space="preserve"> </v>
      </c>
      <c r="J72" s="657" t="str">
        <f t="shared" si="9"/>
        <v xml:space="preserve"> </v>
      </c>
      <c r="K72" s="1009" t="str">
        <f t="shared" si="10"/>
        <v xml:space="preserve"> </v>
      </c>
      <c r="L72" s="540"/>
    </row>
    <row r="73" spans="2:12" ht="24.75" customHeight="1">
      <c r="B73" s="732" t="s">
        <v>262</v>
      </c>
      <c r="C73" s="730" t="s">
        <v>250</v>
      </c>
      <c r="D73" s="656" t="str">
        <f t="shared" si="5"/>
        <v xml:space="preserve"> </v>
      </c>
      <c r="E73" s="656" t="str">
        <f t="shared" si="5"/>
        <v xml:space="preserve"> </v>
      </c>
      <c r="F73" s="655"/>
      <c r="G73" s="473" t="str">
        <f t="shared" si="6"/>
        <v/>
      </c>
      <c r="H73" s="1015">
        <f t="shared" si="7"/>
        <v>0</v>
      </c>
      <c r="I73" s="654" t="str">
        <f t="shared" si="8"/>
        <v xml:space="preserve"> </v>
      </c>
      <c r="J73" s="657" t="str">
        <f t="shared" si="9"/>
        <v xml:space="preserve"> </v>
      </c>
      <c r="K73" s="1009" t="str">
        <f t="shared" si="10"/>
        <v xml:space="preserve"> </v>
      </c>
      <c r="L73" s="540"/>
    </row>
    <row r="74" spans="2:12" ht="24.75" customHeight="1">
      <c r="B74" s="732" t="s">
        <v>263</v>
      </c>
      <c r="C74" s="730" t="s">
        <v>250</v>
      </c>
      <c r="D74" s="656" t="str">
        <f t="shared" si="5"/>
        <v xml:space="preserve"> </v>
      </c>
      <c r="E74" s="656" t="str">
        <f t="shared" si="5"/>
        <v xml:space="preserve"> </v>
      </c>
      <c r="F74" s="655"/>
      <c r="G74" s="473" t="str">
        <f t="shared" si="6"/>
        <v/>
      </c>
      <c r="H74" s="1015">
        <f t="shared" si="7"/>
        <v>0</v>
      </c>
      <c r="I74" s="654" t="str">
        <f t="shared" si="8"/>
        <v xml:space="preserve"> </v>
      </c>
      <c r="J74" s="657" t="str">
        <f t="shared" si="9"/>
        <v xml:space="preserve"> </v>
      </c>
      <c r="K74" s="1009" t="str">
        <f t="shared" si="10"/>
        <v xml:space="preserve"> </v>
      </c>
      <c r="L74" s="540"/>
    </row>
    <row r="75" spans="2:12" ht="24.75" customHeight="1" thickBot="1">
      <c r="B75" s="732" t="s">
        <v>264</v>
      </c>
      <c r="C75" s="730" t="s">
        <v>250</v>
      </c>
      <c r="D75" s="656" t="str">
        <f t="shared" si="5"/>
        <v xml:space="preserve"> </v>
      </c>
      <c r="E75" s="656" t="str">
        <f t="shared" si="5"/>
        <v xml:space="preserve"> </v>
      </c>
      <c r="F75" s="655"/>
      <c r="G75" s="473" t="str">
        <f t="shared" si="6"/>
        <v/>
      </c>
      <c r="H75" s="1015">
        <f t="shared" si="7"/>
        <v>0</v>
      </c>
      <c r="I75" s="654" t="str">
        <f t="shared" si="8"/>
        <v xml:space="preserve"> </v>
      </c>
      <c r="J75" s="653" t="str">
        <f t="shared" si="9"/>
        <v xml:space="preserve"> </v>
      </c>
      <c r="K75" s="1009" t="str">
        <f t="shared" si="10"/>
        <v xml:space="preserve"> </v>
      </c>
      <c r="L75" s="540"/>
    </row>
    <row r="76" spans="2:12" ht="24.75" customHeight="1" thickBot="1">
      <c r="B76" s="905" t="s">
        <v>20</v>
      </c>
      <c r="C76" s="906"/>
      <c r="D76" s="907"/>
      <c r="E76" s="1012" t="str">
        <f>IF(SUM(E61:E75)&gt;0,SUM(E61:E75)," ")</f>
        <v xml:space="preserve"> </v>
      </c>
      <c r="F76" s="477"/>
      <c r="G76" s="478"/>
      <c r="H76" s="1014" t="str">
        <f>IF(SUM(H61:H75)&gt;0,SUM(H61:H75)," ")</f>
        <v xml:space="preserve"> </v>
      </c>
      <c r="I76" s="652">
        <f>COUNTIF(I61:I75,"ERFÜLLT")</f>
        <v>0</v>
      </c>
      <c r="J76" s="651">
        <f>COUNTIF(J61:J75,"ERFÜLLT")</f>
        <v>0</v>
      </c>
      <c r="K76" s="1014">
        <f>COUNTIF(K61:K75,"ERFÜLLT")</f>
        <v>0</v>
      </c>
      <c r="L76" s="540"/>
    </row>
    <row r="80" spans="2:12" ht="30" customHeight="1">
      <c r="B80" s="974" t="s">
        <v>640</v>
      </c>
    </row>
    <row r="81" spans="2:6" ht="30.75" customHeight="1" thickBot="1">
      <c r="B81" s="650"/>
      <c r="D81" s="975" t="s">
        <v>50</v>
      </c>
    </row>
    <row r="82" spans="2:6" ht="30.75" customHeight="1" thickBot="1">
      <c r="B82" s="678" t="s">
        <v>641</v>
      </c>
      <c r="C82" s="1016"/>
      <c r="D82" s="975"/>
    </row>
    <row r="83" spans="2:6" ht="25" customHeight="1"/>
    <row r="85" spans="2:6" ht="7" customHeight="1"/>
    <row r="87" spans="2:6" ht="30" customHeight="1">
      <c r="B87" s="995" t="s">
        <v>642</v>
      </c>
      <c r="C87" s="161"/>
      <c r="D87" s="306"/>
    </row>
    <row r="88" spans="2:6" ht="14.5" thickBot="1">
      <c r="B88" s="650"/>
      <c r="C88" s="161"/>
      <c r="D88" s="306"/>
    </row>
    <row r="89" spans="2:6" ht="30" customHeight="1" thickBot="1">
      <c r="B89" s="1017" t="s">
        <v>643</v>
      </c>
      <c r="C89" s="1018"/>
      <c r="D89" s="1019" t="s">
        <v>644</v>
      </c>
      <c r="E89" s="1481" t="s">
        <v>50</v>
      </c>
      <c r="F89" s="1460"/>
    </row>
    <row r="90" spans="2:6" ht="23.25" customHeight="1" thickBot="1">
      <c r="B90" s="1020" t="s">
        <v>645</v>
      </c>
      <c r="C90" s="1021"/>
      <c r="D90" s="1022"/>
      <c r="E90" s="1460"/>
      <c r="F90" s="1461"/>
    </row>
    <row r="91" spans="2:6" ht="30" customHeight="1" thickBot="1">
      <c r="B91" s="1023" t="s">
        <v>646</v>
      </c>
      <c r="C91" s="1023" t="s">
        <v>647</v>
      </c>
      <c r="D91" s="1024" t="s">
        <v>644</v>
      </c>
      <c r="E91" s="1460"/>
      <c r="F91" s="1461"/>
    </row>
    <row r="92" spans="2:6" ht="28" customHeight="1" thickBot="1">
      <c r="B92" s="1482" t="s">
        <v>648</v>
      </c>
      <c r="C92" s="1483"/>
      <c r="D92" s="1484"/>
      <c r="E92" s="1460"/>
      <c r="F92" s="1461"/>
    </row>
    <row r="93" spans="2:6" ht="30.75" customHeight="1">
      <c r="B93" s="1025" t="s">
        <v>649</v>
      </c>
      <c r="C93" s="1026">
        <v>0.5</v>
      </c>
      <c r="D93" s="1022"/>
      <c r="E93" s="1460"/>
      <c r="F93" s="1461"/>
    </row>
    <row r="94" spans="2:6" ht="30.75" customHeight="1">
      <c r="B94" s="1027" t="s">
        <v>650</v>
      </c>
      <c r="C94" s="1028">
        <v>0.3</v>
      </c>
      <c r="D94" s="1029"/>
      <c r="E94" s="1460"/>
      <c r="F94" s="1461"/>
    </row>
    <row r="95" spans="2:6" ht="30.75" customHeight="1" thickBot="1">
      <c r="B95" s="1030" t="s">
        <v>651</v>
      </c>
      <c r="C95" s="1031">
        <v>0</v>
      </c>
      <c r="D95" s="1032"/>
      <c r="E95" s="1460"/>
      <c r="F95" s="1461"/>
    </row>
    <row r="96" spans="2:6" ht="30.75" customHeight="1" thickBot="1">
      <c r="B96" s="1472" t="s">
        <v>652</v>
      </c>
      <c r="C96" s="1473"/>
      <c r="D96" s="1474"/>
      <c r="E96" s="1460"/>
      <c r="F96" s="1461"/>
    </row>
    <row r="97" spans="2:8" ht="25" customHeight="1" thickBot="1">
      <c r="B97" s="1462" t="s">
        <v>653</v>
      </c>
      <c r="C97" s="1465"/>
      <c r="D97" s="1466"/>
      <c r="E97" s="1460"/>
      <c r="F97" s="1461"/>
    </row>
    <row r="98" spans="2:8" ht="24.75" customHeight="1">
      <c r="B98" s="1034" t="s">
        <v>654</v>
      </c>
      <c r="C98" s="1026">
        <v>1</v>
      </c>
      <c r="D98" s="1022"/>
      <c r="E98" s="1460"/>
      <c r="F98" s="1461"/>
    </row>
    <row r="99" spans="2:8" ht="33" customHeight="1" thickBot="1">
      <c r="B99" s="1035" t="s">
        <v>655</v>
      </c>
      <c r="C99" s="1031">
        <v>1.1000000000000001</v>
      </c>
      <c r="D99" s="1036"/>
      <c r="E99" s="1460"/>
      <c r="F99" s="1461"/>
    </row>
    <row r="100" spans="2:8" ht="30" customHeight="1" thickBot="1">
      <c r="B100" s="1462" t="s">
        <v>656</v>
      </c>
      <c r="C100" s="1465"/>
      <c r="D100" s="1466"/>
      <c r="E100" s="1460"/>
      <c r="F100" s="1461"/>
      <c r="H100" s="297" t="s">
        <v>397</v>
      </c>
    </row>
    <row r="101" spans="2:8" ht="24.5" customHeight="1">
      <c r="B101" s="1034" t="s">
        <v>654</v>
      </c>
      <c r="C101" s="1026">
        <v>0.9</v>
      </c>
      <c r="D101" s="1022"/>
      <c r="E101" s="1460"/>
      <c r="F101" s="1461"/>
      <c r="H101" s="297" t="s">
        <v>395</v>
      </c>
    </row>
    <row r="102" spans="2:8" ht="33" customHeight="1" thickBot="1">
      <c r="B102" s="1035" t="s">
        <v>655</v>
      </c>
      <c r="C102" s="1031">
        <v>1</v>
      </c>
      <c r="D102" s="1032"/>
      <c r="E102" s="1460"/>
      <c r="F102" s="1461"/>
    </row>
    <row r="103" spans="2:8" ht="25.5" customHeight="1" thickBot="1">
      <c r="B103" s="1462" t="s">
        <v>657</v>
      </c>
      <c r="C103" s="1465"/>
      <c r="D103" s="1466"/>
      <c r="E103" s="1460"/>
      <c r="F103" s="1461"/>
    </row>
    <row r="104" spans="2:8" ht="25.5" customHeight="1">
      <c r="B104" s="1034" t="s">
        <v>654</v>
      </c>
      <c r="C104" s="1026">
        <v>0.7</v>
      </c>
      <c r="D104" s="1022"/>
      <c r="E104" s="1460"/>
      <c r="F104" s="1461"/>
    </row>
    <row r="105" spans="2:8" ht="30" customHeight="1" thickBot="1">
      <c r="B105" s="1035" t="s">
        <v>655</v>
      </c>
      <c r="C105" s="1031">
        <v>0.8</v>
      </c>
      <c r="D105" s="1032"/>
      <c r="E105" s="1460"/>
      <c r="F105" s="1461"/>
    </row>
    <row r="106" spans="2:8" ht="25.5" customHeight="1" thickBot="1">
      <c r="B106" s="1462" t="s">
        <v>658</v>
      </c>
      <c r="C106" s="1465"/>
      <c r="D106" s="1466"/>
      <c r="E106" s="1460"/>
      <c r="F106" s="1461"/>
      <c r="H106" s="569">
        <f>COUNTIF(C17:C20,"Ja")</f>
        <v>0</v>
      </c>
    </row>
    <row r="107" spans="2:8" ht="25.5" customHeight="1" thickBot="1">
      <c r="B107" s="1037" t="s">
        <v>659</v>
      </c>
      <c r="C107" s="1026">
        <v>1</v>
      </c>
      <c r="D107" s="1022"/>
      <c r="E107" s="1460"/>
      <c r="F107" s="1461"/>
    </row>
    <row r="108" spans="2:8" ht="25.5" customHeight="1" thickBot="1">
      <c r="B108" s="1038" t="s">
        <v>660</v>
      </c>
      <c r="C108" s="1039">
        <v>1.1000000000000001</v>
      </c>
      <c r="D108" s="1032"/>
      <c r="E108" s="1460"/>
      <c r="F108" s="1461"/>
    </row>
    <row r="109" spans="2:8" ht="25.5" customHeight="1" thickBot="1">
      <c r="B109" s="1040" t="s">
        <v>661</v>
      </c>
      <c r="C109" s="1041">
        <v>1.2</v>
      </c>
      <c r="D109" s="1036"/>
      <c r="E109" s="1467"/>
      <c r="F109" s="1460"/>
    </row>
    <row r="110" spans="2:8" ht="25.5" customHeight="1" thickBot="1">
      <c r="B110" s="1462" t="s">
        <v>662</v>
      </c>
      <c r="C110" s="1465"/>
      <c r="D110" s="1468"/>
      <c r="E110" s="1460"/>
      <c r="F110" s="1461"/>
    </row>
    <row r="111" spans="2:8" ht="25.5" customHeight="1">
      <c r="B111" s="1034" t="s">
        <v>663</v>
      </c>
      <c r="C111" s="1026">
        <v>0.7</v>
      </c>
      <c r="D111" s="1022"/>
      <c r="E111" s="1460"/>
      <c r="F111" s="1461"/>
      <c r="H111" s="297" t="s">
        <v>215</v>
      </c>
    </row>
    <row r="112" spans="2:8" ht="25.5" customHeight="1">
      <c r="B112" s="1042" t="s">
        <v>664</v>
      </c>
      <c r="C112" s="1028">
        <v>0.6</v>
      </c>
      <c r="D112" s="1029"/>
      <c r="E112" s="1460"/>
      <c r="F112" s="1461"/>
      <c r="H112" s="135" t="s">
        <v>214</v>
      </c>
    </row>
    <row r="113" spans="2:8" ht="25.5" customHeight="1" thickBot="1">
      <c r="B113" s="1043" t="s">
        <v>665</v>
      </c>
      <c r="C113" s="1031">
        <v>0.8</v>
      </c>
      <c r="D113" s="1032"/>
      <c r="E113" s="1460"/>
      <c r="F113" s="1461"/>
      <c r="H113" s="135"/>
    </row>
    <row r="114" spans="2:8" ht="25.5" customHeight="1" thickBot="1">
      <c r="B114" s="1469" t="s">
        <v>666</v>
      </c>
      <c r="C114" s="1470"/>
      <c r="D114" s="1471"/>
      <c r="E114" s="1460"/>
      <c r="F114" s="1461"/>
      <c r="H114" s="135"/>
    </row>
    <row r="115" spans="2:8" ht="70.5" customHeight="1" thickBot="1">
      <c r="B115" s="1044" t="s">
        <v>667</v>
      </c>
      <c r="C115" s="1045">
        <v>0.5</v>
      </c>
      <c r="D115" s="1046"/>
      <c r="E115" s="1460"/>
      <c r="F115" s="1461"/>
      <c r="H115" s="297">
        <v>5</v>
      </c>
    </row>
    <row r="116" spans="2:8" ht="48" customHeight="1">
      <c r="B116" s="1047" t="s">
        <v>668</v>
      </c>
      <c r="C116" s="1026">
        <v>0.7</v>
      </c>
      <c r="D116" s="1048"/>
      <c r="E116" s="1460"/>
      <c r="F116" s="1461"/>
      <c r="H116" s="297">
        <v>7</v>
      </c>
    </row>
    <row r="117" spans="2:8" ht="31" customHeight="1" thickBot="1">
      <c r="B117" s="1043" t="s">
        <v>669</v>
      </c>
      <c r="C117" s="1031">
        <v>0.9</v>
      </c>
      <c r="D117" s="1032"/>
      <c r="E117" s="1460"/>
      <c r="F117" s="1461"/>
    </row>
    <row r="118" spans="2:8" ht="24.75" customHeight="1" thickBot="1">
      <c r="B118" s="1462" t="s">
        <v>670</v>
      </c>
      <c r="C118" s="1463"/>
      <c r="D118" s="1464"/>
      <c r="E118" s="1460"/>
      <c r="F118" s="1461"/>
    </row>
    <row r="119" spans="2:8" ht="25" customHeight="1">
      <c r="B119" s="1034" t="s">
        <v>671</v>
      </c>
      <c r="C119" s="1028">
        <v>1.1000000000000001</v>
      </c>
      <c r="D119" s="1022"/>
      <c r="E119" s="1460"/>
      <c r="F119" s="1461"/>
    </row>
    <row r="120" spans="2:8" ht="25" customHeight="1" thickBot="1">
      <c r="B120" s="1042" t="s">
        <v>672</v>
      </c>
      <c r="C120" s="1031">
        <v>1.1000000000000001</v>
      </c>
      <c r="D120" s="1029"/>
      <c r="E120" s="1460"/>
      <c r="F120" s="1461"/>
    </row>
    <row r="121" spans="2:8" ht="30.75" customHeight="1" thickBot="1">
      <c r="B121" s="1033" t="s">
        <v>673</v>
      </c>
      <c r="C121" s="1049" t="s">
        <v>674</v>
      </c>
      <c r="D121" s="1050"/>
      <c r="E121" s="1460"/>
      <c r="F121" s="1461"/>
    </row>
    <row r="122" spans="2:8" ht="25" customHeight="1" thickBot="1">
      <c r="B122" s="1034" t="s">
        <v>675</v>
      </c>
      <c r="C122" s="1051"/>
      <c r="D122" s="1052">
        <f>C122*75</f>
        <v>0</v>
      </c>
      <c r="E122" s="1461"/>
      <c r="F122" s="1461"/>
    </row>
    <row r="123" spans="2:8" ht="25" customHeight="1" thickBot="1">
      <c r="B123" s="1042" t="s">
        <v>676</v>
      </c>
      <c r="C123" s="1053"/>
      <c r="D123" s="1052">
        <f>C123*20</f>
        <v>0</v>
      </c>
      <c r="E123" s="1461"/>
      <c r="F123" s="1461"/>
    </row>
    <row r="124" spans="2:8" ht="25" customHeight="1" thickBot="1">
      <c r="B124" s="1054" t="s">
        <v>677</v>
      </c>
      <c r="C124" s="1053"/>
      <c r="D124" s="1052">
        <f>C124*5</f>
        <v>0</v>
      </c>
      <c r="E124" s="1461"/>
      <c r="F124" s="1461"/>
    </row>
    <row r="125" spans="2:8" ht="19" customHeight="1" thickBot="1">
      <c r="B125" s="1055" t="s">
        <v>678</v>
      </c>
      <c r="C125" s="1056" t="s">
        <v>679</v>
      </c>
      <c r="D125" s="1065">
        <f>D93*C93+D94*C94+D95*C95+D98*C98+D99*C99+D101*C101+D102*C102+D104*C104+D105*C105+D107*C107+D108*C108+D111*C111+D112*C112+D113*C113+D115*C115+D116*C116+D117*C117+D119*C119+D120*C120+D122+D123+D124</f>
        <v>0</v>
      </c>
      <c r="E125" s="1460"/>
      <c r="F125" s="1461"/>
    </row>
    <row r="126" spans="2:8" ht="19.5" customHeight="1" thickBot="1">
      <c r="B126" s="1055" t="s">
        <v>680</v>
      </c>
      <c r="C126" s="1056" t="s">
        <v>681</v>
      </c>
      <c r="D126" s="1066">
        <f>IFERROR(D125/D90,0)</f>
        <v>0</v>
      </c>
      <c r="E126" s="1460"/>
      <c r="F126" s="1461"/>
    </row>
    <row r="127" spans="2:8" ht="27.75" customHeight="1"/>
    <row r="128" spans="2:8" ht="27.75" customHeight="1"/>
    <row r="129" spans="2:4" ht="27.75" customHeight="1" thickBot="1">
      <c r="B129" s="1057" t="s">
        <v>682</v>
      </c>
    </row>
    <row r="130" spans="2:4" ht="30" customHeight="1" thickBot="1">
      <c r="C130" s="1058" t="s">
        <v>211</v>
      </c>
      <c r="D130" s="975" t="s">
        <v>50</v>
      </c>
    </row>
    <row r="131" spans="2:4" ht="30" customHeight="1">
      <c r="B131" s="1059" t="s">
        <v>683</v>
      </c>
      <c r="C131" s="1062"/>
      <c r="D131" s="977"/>
    </row>
    <row r="132" spans="2:4" ht="30" customHeight="1" thickBot="1">
      <c r="B132" s="1060" t="s">
        <v>401</v>
      </c>
      <c r="C132" s="1063"/>
      <c r="D132" s="977"/>
    </row>
    <row r="133" spans="2:4" ht="30" customHeight="1" thickBot="1">
      <c r="B133" s="1061" t="s">
        <v>400</v>
      </c>
      <c r="C133" s="1064">
        <f>IF(C131&gt;0,C132/C131,0)</f>
        <v>0</v>
      </c>
      <c r="D133" s="977"/>
    </row>
    <row r="134" spans="2:4" ht="30" customHeight="1" thickBot="1">
      <c r="B134" s="728" t="s">
        <v>485</v>
      </c>
      <c r="C134" s="451" t="str">
        <f>IF(C132&gt;C131,"Werte kontrollieren!","OK")</f>
        <v>OK</v>
      </c>
      <c r="D134" s="977"/>
    </row>
    <row r="135" spans="2:4" ht="18.75" customHeight="1"/>
    <row r="137" spans="2:4" ht="18.75" customHeight="1"/>
    <row r="138" spans="2:4" ht="18.75" customHeight="1"/>
    <row r="140" spans="2:4" ht="19.5" customHeight="1"/>
    <row r="141" spans="2:4" ht="18.75" customHeight="1"/>
    <row r="142" spans="2:4" ht="18.75" customHeight="1"/>
    <row r="143" spans="2:4" ht="19.5" customHeight="1"/>
    <row r="147" ht="20.25" customHeight="1"/>
    <row r="148" ht="59.5" customHeight="1"/>
    <row r="149" ht="42.75" customHeight="1"/>
    <row r="150" ht="42" customHeight="1"/>
    <row r="151" ht="20.25" customHeight="1"/>
    <row r="152" ht="19" customHeight="1"/>
    <row r="153" ht="19" customHeight="1"/>
    <row r="154" ht="19" customHeight="1"/>
    <row r="155" ht="20.25" customHeight="1"/>
    <row r="156" ht="19" customHeight="1"/>
    <row r="157" ht="19" customHeight="1"/>
    <row r="158" ht="19" customHeight="1"/>
    <row r="159" ht="26.5" customHeight="1"/>
    <row r="160" ht="32.25" customHeight="1"/>
    <row r="164" spans="2:3" ht="27.75" customHeight="1">
      <c r="B164" s="650"/>
    </row>
    <row r="165" spans="2:3" ht="18.75" customHeight="1">
      <c r="B165" s="161"/>
      <c r="C165" s="161"/>
    </row>
    <row r="166" spans="2:3" ht="31.5" customHeight="1"/>
    <row r="167" spans="2:3" ht="32.25" customHeight="1"/>
    <row r="168" spans="2:3" ht="34.5" customHeight="1"/>
  </sheetData>
  <sheetProtection algorithmName="SHA-512" hashValue="vESar1YmQoI2rFfXyrDMWvB6Y7D0K4hZsxcwIEWlge1cR8/VxWELHsXb8AIIvEcCNAoYNOd7Hl1wm5HxwBMCkA==" saltValue="27Qr+83lbSPFnTjjp8Ax0A==" spinCount="100000" sheet="1" objects="1" scenarios="1"/>
  <protectedRanges>
    <protectedRange sqref="D131:D134" name="Bereich28"/>
    <protectedRange sqref="C131:C132" name="Bereich27"/>
    <protectedRange sqref="E90:F126" name="Bereich26"/>
    <protectedRange sqref="C122:C124" name="Bereich25"/>
    <protectedRange sqref="D119:D120" name="Bereich24"/>
    <protectedRange sqref="D115:D117" name="Bereich23"/>
    <protectedRange sqref="D111:D113" name="Bereich22"/>
    <protectedRange sqref="D107:D109" name="Bereich21"/>
    <protectedRange sqref="D104:D105" name="Bereich20"/>
    <protectedRange sqref="D101:D102" name="Bereich19"/>
    <protectedRange sqref="D98:D99" name="Bereich18"/>
    <protectedRange sqref="D93:D95" name="Bereich17"/>
    <protectedRange sqref="D90" name="Bereich16"/>
    <protectedRange sqref="C82:D82" name="Bereich15"/>
    <protectedRange sqref="L61:L76" name="Bereich14"/>
    <protectedRange sqref="F61:F75" name="Bereich13"/>
    <protectedRange sqref="L43:L58" name="Bereich12"/>
    <protectedRange sqref="D43:F57" name="Bereich11"/>
    <protectedRange sqref="D36:D40" name="Bereich10"/>
    <protectedRange sqref="C29" name="Bereich9"/>
    <protectedRange sqref="C27" name="Bereich8"/>
    <protectedRange sqref="C25" name="Bereich7"/>
    <protectedRange sqref="C20:C23" name="Bereich6"/>
    <protectedRange sqref="C17:C18" name="Bereich5"/>
    <protectedRange sqref="C15" name="Bereich4"/>
    <protectedRange sqref="D15:D29" name="Bereich3"/>
    <protectedRange sqref="D5:D10" name="Bereich2"/>
    <protectedRange sqref="C5:C7" name="Bereich1"/>
  </protectedRanges>
  <mergeCells count="50">
    <mergeCell ref="B96:D96"/>
    <mergeCell ref="E96:F96"/>
    <mergeCell ref="F4:F5"/>
    <mergeCell ref="B16:C16"/>
    <mergeCell ref="E35:G35"/>
    <mergeCell ref="E89:F89"/>
    <mergeCell ref="E90:F90"/>
    <mergeCell ref="E91:F91"/>
    <mergeCell ref="B92:D92"/>
    <mergeCell ref="E92:F92"/>
    <mergeCell ref="E93:F93"/>
    <mergeCell ref="E94:F94"/>
    <mergeCell ref="E95:F95"/>
    <mergeCell ref="E105:F105"/>
    <mergeCell ref="B97:D97"/>
    <mergeCell ref="E97:F97"/>
    <mergeCell ref="E98:F98"/>
    <mergeCell ref="E99:F99"/>
    <mergeCell ref="B100:D100"/>
    <mergeCell ref="E100:F100"/>
    <mergeCell ref="E101:F101"/>
    <mergeCell ref="E102:F102"/>
    <mergeCell ref="B103:D103"/>
    <mergeCell ref="E103:F103"/>
    <mergeCell ref="E104:F104"/>
    <mergeCell ref="E115:F115"/>
    <mergeCell ref="B106:D106"/>
    <mergeCell ref="E106:F106"/>
    <mergeCell ref="E107:F107"/>
    <mergeCell ref="E108:F108"/>
    <mergeCell ref="E109:F109"/>
    <mergeCell ref="B110:D110"/>
    <mergeCell ref="E110:F110"/>
    <mergeCell ref="E111:F111"/>
    <mergeCell ref="E112:F112"/>
    <mergeCell ref="E113:F113"/>
    <mergeCell ref="B114:D114"/>
    <mergeCell ref="E114:F114"/>
    <mergeCell ref="E126:F126"/>
    <mergeCell ref="E116:F116"/>
    <mergeCell ref="E117:F117"/>
    <mergeCell ref="B118:D118"/>
    <mergeCell ref="E118:F118"/>
    <mergeCell ref="E119:F119"/>
    <mergeCell ref="E120:F120"/>
    <mergeCell ref="E121:F121"/>
    <mergeCell ref="E122:F122"/>
    <mergeCell ref="E123:F123"/>
    <mergeCell ref="E124:F124"/>
    <mergeCell ref="E125:F125"/>
  </mergeCells>
  <conditionalFormatting sqref="C10">
    <cfRule type="cellIs" dxfId="2" priority="1" operator="equal">
      <formula>"Werte kontrollieren!"</formula>
    </cfRule>
  </conditionalFormatting>
  <conditionalFormatting sqref="C134">
    <cfRule type="cellIs" dxfId="1" priority="2" operator="equal">
      <formula>"Werte kontrollieren!"</formula>
    </cfRule>
  </conditionalFormatting>
  <dataValidations count="4">
    <dataValidation type="list" allowBlank="1" showInputMessage="1" showErrorMessage="1" sqref="C82" xr:uid="{E62402B2-8068-4A6C-81C3-4E80624AD4D5}">
      <formula1>$H$5:$H$7</formula1>
    </dataValidation>
    <dataValidation type="list" allowBlank="1" showInputMessage="1" showErrorMessage="1" sqref="C15 C17 C20" xr:uid="{61F6F20B-5ADD-4B51-A4F9-6668D9A8AFA7}">
      <formula1>$H$100:$H$101</formula1>
    </dataValidation>
    <dataValidation type="list" allowBlank="1" showInputMessage="1" showErrorMessage="1" sqref="C27" xr:uid="{00E1895B-4003-4C90-976B-A0370DA528D6}">
      <formula1>$H$111:$H$112</formula1>
    </dataValidation>
    <dataValidation type="list" allowBlank="1" showInputMessage="1" showErrorMessage="1" sqref="C21 C21" xr:uid="{93212610-6318-4093-A5B5-C5D63086F37D}">
      <formula1>$H$115:$H$116</formula1>
    </dataValidation>
  </dataValidations>
  <pageMargins left="0.7" right="0.7" top="0.78740157499999996" bottom="0.78740157499999996" header="0.3" footer="0.3"/>
  <extLst>
    <ext xmlns:x14="http://schemas.microsoft.com/office/spreadsheetml/2009/9/main" uri="{78C0D931-6437-407d-A8EE-F0AAD7539E65}">
      <x14:conditionalFormattings>
        <x14:conditionalFormatting xmlns:xm="http://schemas.microsoft.com/office/excel/2006/main">
          <x14:cfRule type="containsText" priority="3" operator="containsText" id="{644643C3-72CE-431B-BD81-83DEEEDA8C18}">
            <xm:f>NOT(ISERROR(SEARCH($M$15,F6)))</xm:f>
            <xm:f>$M$15</xm:f>
            <x14:dxf>
              <font>
                <strike val="0"/>
              </font>
              <fill>
                <patternFill>
                  <bgColor rgb="FFFF0000"/>
                </patternFill>
              </fill>
            </x14:dxf>
          </x14:cfRule>
          <xm:sqref>F6:F7</xm:sqref>
        </x14:conditionalFormatting>
      </x14:conditionalFormatting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F6E645-95F7-4D2E-9ECE-63E32594E04B}">
  <sheetPr codeName="Tabelle23"/>
  <dimension ref="B1:BD41"/>
  <sheetViews>
    <sheetView workbookViewId="0"/>
  </sheetViews>
  <sheetFormatPr baseColWidth="10" defaultColWidth="11.453125" defaultRowHeight="14.5"/>
  <cols>
    <col min="1" max="1" width="6.54296875" style="679" customWidth="1"/>
    <col min="2" max="2" width="10.26953125" style="679" hidden="1" customWidth="1"/>
    <col min="3" max="3" width="10.1796875" style="679" hidden="1" customWidth="1"/>
    <col min="4" max="4" width="9.81640625" style="679" customWidth="1"/>
    <col min="5" max="5" width="28.54296875" style="679" customWidth="1"/>
    <col min="6" max="6" width="14.81640625" style="679" customWidth="1"/>
    <col min="7" max="7" width="38.453125" style="679" hidden="1" customWidth="1"/>
    <col min="8" max="8" width="46" style="679" hidden="1" customWidth="1"/>
    <col min="9" max="9" width="6.7265625" style="679" hidden="1" customWidth="1"/>
    <col min="10" max="10" width="20.1796875" style="679" hidden="1" customWidth="1"/>
    <col min="11" max="11" width="11.453125" style="679" hidden="1" customWidth="1"/>
    <col min="12" max="12" width="23.453125" style="679" hidden="1" customWidth="1"/>
    <col min="13" max="13" width="25" style="679" hidden="1" customWidth="1"/>
    <col min="14" max="14" width="28.54296875" style="680" hidden="1" customWidth="1"/>
    <col min="15" max="15" width="18.81640625" style="679" hidden="1" customWidth="1"/>
    <col min="16" max="16" width="16.54296875" style="680" hidden="1" customWidth="1"/>
    <col min="17" max="17" width="0" style="679" hidden="1" customWidth="1"/>
    <col min="18" max="18" width="11.453125" style="679"/>
    <col min="19" max="19" width="0" style="679" hidden="1" customWidth="1"/>
    <col min="20" max="20" width="11.453125" style="679"/>
    <col min="21" max="21" width="0" style="679" hidden="1" customWidth="1"/>
    <col min="22" max="22" width="11.453125" style="679"/>
    <col min="23" max="23" width="0" style="679" hidden="1" customWidth="1"/>
    <col min="24" max="32" width="11.453125" style="679"/>
    <col min="33" max="33" width="17.453125" style="679" customWidth="1"/>
    <col min="34" max="34" width="11.453125" style="679"/>
    <col min="35" max="35" width="11.453125" style="679" customWidth="1"/>
    <col min="36" max="16384" width="11.453125" style="679"/>
  </cols>
  <sheetData>
    <row r="1" spans="2:56" ht="24" customHeight="1">
      <c r="E1" s="724" t="s">
        <v>484</v>
      </c>
      <c r="F1" s="723"/>
    </row>
    <row r="2" spans="2:56" ht="6" customHeight="1"/>
    <row r="3" spans="2:56" ht="45" customHeight="1">
      <c r="B3" s="719" t="s">
        <v>483</v>
      </c>
      <c r="C3" s="719" t="s">
        <v>482</v>
      </c>
      <c r="D3" s="719" t="s">
        <v>466</v>
      </c>
      <c r="E3" s="718" t="s">
        <v>464</v>
      </c>
      <c r="F3" s="718" t="s">
        <v>17</v>
      </c>
      <c r="G3" s="722" t="s">
        <v>481</v>
      </c>
      <c r="H3" s="722" t="s">
        <v>480</v>
      </c>
      <c r="I3" s="722" t="s">
        <v>479</v>
      </c>
      <c r="J3" s="720" t="s">
        <v>478</v>
      </c>
      <c r="K3" s="721" t="s">
        <v>477</v>
      </c>
      <c r="L3" s="721" t="s">
        <v>476</v>
      </c>
      <c r="M3" s="721" t="s">
        <v>475</v>
      </c>
      <c r="N3" s="720" t="s">
        <v>474</v>
      </c>
      <c r="O3" s="720" t="s">
        <v>473</v>
      </c>
      <c r="P3" s="720" t="s">
        <v>472</v>
      </c>
      <c r="Q3" s="720" t="s">
        <v>471</v>
      </c>
      <c r="R3" s="713" t="s">
        <v>382</v>
      </c>
      <c r="S3" s="713" t="s">
        <v>470</v>
      </c>
      <c r="T3" s="713" t="s">
        <v>377</v>
      </c>
      <c r="U3" s="713" t="s">
        <v>469</v>
      </c>
      <c r="V3" s="713" t="s">
        <v>365</v>
      </c>
      <c r="W3" s="713" t="s">
        <v>468</v>
      </c>
      <c r="X3" s="713" t="s">
        <v>369</v>
      </c>
      <c r="Y3" s="713" t="s">
        <v>467</v>
      </c>
      <c r="AA3" s="695"/>
      <c r="AB3" s="713" t="s">
        <v>382</v>
      </c>
      <c r="AC3" s="713" t="s">
        <v>377</v>
      </c>
      <c r="AD3" s="713" t="s">
        <v>365</v>
      </c>
      <c r="AE3" s="713" t="s">
        <v>369</v>
      </c>
      <c r="AG3" s="719" t="s">
        <v>466</v>
      </c>
      <c r="AH3" s="692">
        <v>1</v>
      </c>
      <c r="AI3" s="717" t="s">
        <v>463</v>
      </c>
      <c r="AJ3" s="717" t="s">
        <v>14</v>
      </c>
      <c r="AK3" s="692">
        <v>3</v>
      </c>
      <c r="AL3" s="692">
        <v>4</v>
      </c>
      <c r="AM3" s="692">
        <v>5</v>
      </c>
      <c r="AN3" s="692">
        <v>6</v>
      </c>
      <c r="AO3" s="692">
        <v>7</v>
      </c>
      <c r="AP3" s="692">
        <v>8</v>
      </c>
      <c r="AQ3" s="692">
        <v>9</v>
      </c>
      <c r="AR3" s="692">
        <v>10</v>
      </c>
      <c r="AS3" s="692">
        <v>11</v>
      </c>
      <c r="AT3" s="692">
        <v>12</v>
      </c>
      <c r="AU3" s="692">
        <v>13</v>
      </c>
      <c r="AV3" s="692">
        <v>14</v>
      </c>
      <c r="AW3" s="692">
        <v>15</v>
      </c>
      <c r="AX3" s="692">
        <v>16</v>
      </c>
      <c r="AY3" s="692">
        <v>17</v>
      </c>
      <c r="AZ3" s="702">
        <v>17</v>
      </c>
      <c r="BA3" s="692">
        <v>18</v>
      </c>
      <c r="BB3" s="692">
        <v>19</v>
      </c>
      <c r="BC3" s="692">
        <v>20</v>
      </c>
      <c r="BD3" s="692"/>
    </row>
    <row r="4" spans="2:56" ht="39.75" customHeight="1">
      <c r="B4" s="699" t="s">
        <v>410</v>
      </c>
      <c r="C4" s="699" t="s">
        <v>410</v>
      </c>
      <c r="D4" s="692">
        <v>1</v>
      </c>
      <c r="E4" s="699" t="s">
        <v>357</v>
      </c>
      <c r="F4" s="697"/>
      <c r="G4" s="701"/>
      <c r="H4" s="701"/>
      <c r="I4" s="698"/>
      <c r="J4" s="680" t="s">
        <v>465</v>
      </c>
      <c r="L4" s="697" t="s">
        <v>412</v>
      </c>
      <c r="M4" s="679" t="s">
        <v>412</v>
      </c>
      <c r="N4" s="680" t="s">
        <v>412</v>
      </c>
      <c r="O4" s="711">
        <v>20</v>
      </c>
      <c r="P4" s="696"/>
      <c r="Q4" s="695">
        <f t="shared" ref="Q4:Q16" si="0">O4*(1000/($O$4+$O$5+$O$6+$O$7+$O$8+$O$9+$O$10+$O$11+$O$12+$O$13+$O$14+$O$15+$O$16+$O$17+$O$18+$O$19+$O$20))</f>
        <v>32</v>
      </c>
      <c r="R4" s="695">
        <v>30</v>
      </c>
      <c r="S4" s="695">
        <f t="shared" ref="S4:S20" si="1">O4*(1000/($O$4+$O$5+$O$6+$O$7+$O$8+$O$9+$O$10+$O$11+$O$12+$O$13+$O$14+$O$15+$O$16+$O$17+$O$18+$O$19+$O$20+$O$22+$O$23))</f>
        <v>30.075187969924812</v>
      </c>
      <c r="T4" s="695">
        <v>28</v>
      </c>
      <c r="U4" s="695">
        <f t="shared" ref="U4:U16" si="2">O4*1000/($O$4+$O$5+$O$6+$O$7+$O$8+$O$9+$O$10+$O$11+$O$12+$O$13+$O$14+$O$15+$O$16+$O$18+$O$19+$O$20+$O$21+$O$24+$O$25)</f>
        <v>30.534351145038169</v>
      </c>
      <c r="V4" s="695">
        <v>32</v>
      </c>
      <c r="W4" s="695">
        <f t="shared" ref="W4:W16" si="3">O4*1000/($O$4+$O$5+$O$6+$O$7+$O$8+$O$9+$O$10+$O$11+$O$12+$O$13+$O$14+$O$15+$O$16+$O$18+$O$19+$O$20+$O$21+$O$24+$O$25+$O$22+$O$23)</f>
        <v>28.776978417266186</v>
      </c>
      <c r="X4" s="695">
        <v>28</v>
      </c>
      <c r="Y4" s="684" t="s">
        <v>407</v>
      </c>
      <c r="AA4" s="684" t="s">
        <v>407</v>
      </c>
      <c r="AB4" s="695">
        <f>SUMIF($Y$4:$Y$25,$AA4,$R$4:$R$25)</f>
        <v>334</v>
      </c>
      <c r="AC4" s="695">
        <f>SUMIF($Y$4:$Y$25,$AA4,$T$4:$T$25)</f>
        <v>344</v>
      </c>
      <c r="AD4" s="695">
        <f>SUMIF($Y$4:$Y$25,$AA4,$V$4:$V$25)</f>
        <v>320</v>
      </c>
      <c r="AE4" s="695">
        <f>SUMIF($Y$4:$Y$25,$AA4,$X$4:$X$25)</f>
        <v>326</v>
      </c>
      <c r="AG4" s="718" t="s">
        <v>464</v>
      </c>
      <c r="AH4" s="699" t="s">
        <v>357</v>
      </c>
      <c r="AI4" s="699" t="s">
        <v>462</v>
      </c>
      <c r="AJ4" s="699" t="s">
        <v>461</v>
      </c>
      <c r="AK4" s="699" t="s">
        <v>323</v>
      </c>
      <c r="AL4" s="699" t="s">
        <v>350</v>
      </c>
      <c r="AM4" s="699" t="s">
        <v>348</v>
      </c>
      <c r="AN4" s="699" t="s">
        <v>312</v>
      </c>
      <c r="AO4" s="699" t="s">
        <v>310</v>
      </c>
      <c r="AP4" s="699" t="s">
        <v>322</v>
      </c>
      <c r="AQ4" s="699" t="s">
        <v>320</v>
      </c>
      <c r="AR4" s="699" t="s">
        <v>309</v>
      </c>
      <c r="AS4" s="699" t="s">
        <v>307</v>
      </c>
      <c r="AT4" s="699" t="s">
        <v>304</v>
      </c>
      <c r="AU4" s="699" t="s">
        <v>302</v>
      </c>
      <c r="AV4" s="709" t="s">
        <v>431</v>
      </c>
      <c r="AW4" s="699" t="s">
        <v>315</v>
      </c>
      <c r="AX4" s="699" t="s">
        <v>295</v>
      </c>
      <c r="AY4" s="699"/>
      <c r="AZ4" s="699" t="s">
        <v>293</v>
      </c>
      <c r="BA4" s="699" t="s">
        <v>331</v>
      </c>
      <c r="BB4" s="699" t="s">
        <v>300</v>
      </c>
      <c r="BC4" s="699" t="s">
        <v>330</v>
      </c>
      <c r="BD4" s="691" t="s">
        <v>20</v>
      </c>
    </row>
    <row r="5" spans="2:56" ht="39.75" customHeight="1">
      <c r="B5" s="699" t="s">
        <v>410</v>
      </c>
      <c r="C5" s="699" t="s">
        <v>410</v>
      </c>
      <c r="D5" s="717" t="s">
        <v>463</v>
      </c>
      <c r="E5" s="699" t="s">
        <v>462</v>
      </c>
      <c r="F5" s="697"/>
      <c r="G5" s="701"/>
      <c r="H5" s="701"/>
      <c r="I5" s="698"/>
      <c r="J5" s="680" t="s">
        <v>460</v>
      </c>
      <c r="L5" s="697" t="s">
        <v>459</v>
      </c>
      <c r="M5" s="680" t="s">
        <v>458</v>
      </c>
      <c r="N5" s="680" t="s">
        <v>457</v>
      </c>
      <c r="O5" s="695">
        <v>100</v>
      </c>
      <c r="P5" s="696"/>
      <c r="Q5" s="695">
        <f t="shared" si="0"/>
        <v>160</v>
      </c>
      <c r="R5" s="695">
        <v>152</v>
      </c>
      <c r="S5" s="695">
        <f t="shared" si="1"/>
        <v>150.37593984962405</v>
      </c>
      <c r="T5" s="695">
        <v>144</v>
      </c>
      <c r="U5" s="695">
        <f t="shared" si="2"/>
        <v>152.67175572519085</v>
      </c>
      <c r="V5" s="695">
        <v>160</v>
      </c>
      <c r="W5" s="695">
        <f t="shared" si="3"/>
        <v>143.88489208633092</v>
      </c>
      <c r="X5" s="695">
        <v>150</v>
      </c>
      <c r="Y5" s="684" t="s">
        <v>426</v>
      </c>
      <c r="AA5" s="684" t="s">
        <v>426</v>
      </c>
      <c r="AB5" s="695">
        <f>SUMIF($Y$4:$Y$25,$AA5,$R$4:$R$25)</f>
        <v>308</v>
      </c>
      <c r="AC5" s="695">
        <f>SUMIF($Y$4:$Y$25,$AA5,$T$4:$T$25)</f>
        <v>290</v>
      </c>
      <c r="AD5" s="695">
        <f>SUMIF($Y$4:$Y$25,$AA5,$V$4:$V$25)</f>
        <v>320</v>
      </c>
      <c r="AE5" s="695">
        <f>SUMIF($Y$4:$Y$25,$AA5,$X$4:$X$25)</f>
        <v>302</v>
      </c>
      <c r="AG5" s="713" t="s">
        <v>382</v>
      </c>
      <c r="AH5" s="695">
        <v>30</v>
      </c>
      <c r="AI5" s="695">
        <v>152</v>
      </c>
      <c r="AJ5" s="695">
        <v>152</v>
      </c>
      <c r="AK5" s="695">
        <v>16</v>
      </c>
      <c r="AL5" s="695">
        <v>30</v>
      </c>
      <c r="AM5" s="695">
        <v>46</v>
      </c>
      <c r="AN5" s="695">
        <v>122</v>
      </c>
      <c r="AO5" s="695">
        <v>46</v>
      </c>
      <c r="AP5" s="695">
        <v>46</v>
      </c>
      <c r="AQ5" s="695">
        <v>30</v>
      </c>
      <c r="AR5" s="695">
        <v>46</v>
      </c>
      <c r="AS5" s="695">
        <v>68</v>
      </c>
      <c r="AT5" s="695">
        <v>16</v>
      </c>
      <c r="AU5" s="695"/>
      <c r="AV5" s="695">
        <v>46</v>
      </c>
      <c r="AW5" s="695">
        <v>64</v>
      </c>
      <c r="AX5" s="695">
        <v>30</v>
      </c>
      <c r="AY5" s="695"/>
      <c r="AZ5" s="695"/>
      <c r="BA5" s="695"/>
      <c r="BB5" s="695">
        <v>30</v>
      </c>
      <c r="BC5" s="695">
        <v>30</v>
      </c>
      <c r="BD5" s="685">
        <f>SUM(AH5:BC5)</f>
        <v>1000</v>
      </c>
    </row>
    <row r="6" spans="2:56" ht="39.75" customHeight="1">
      <c r="B6" s="699" t="s">
        <v>410</v>
      </c>
      <c r="C6" s="699" t="s">
        <v>410</v>
      </c>
      <c r="D6" s="717" t="s">
        <v>14</v>
      </c>
      <c r="E6" s="699" t="s">
        <v>461</v>
      </c>
      <c r="F6" s="697"/>
      <c r="G6" s="701"/>
      <c r="H6" s="701"/>
      <c r="I6" s="698"/>
      <c r="J6" s="680" t="s">
        <v>460</v>
      </c>
      <c r="L6" s="697" t="s">
        <v>459</v>
      </c>
      <c r="M6" s="680" t="s">
        <v>458</v>
      </c>
      <c r="N6" s="680" t="s">
        <v>457</v>
      </c>
      <c r="O6" s="711">
        <v>100</v>
      </c>
      <c r="P6" s="696"/>
      <c r="Q6" s="695">
        <f t="shared" si="0"/>
        <v>160</v>
      </c>
      <c r="R6" s="695">
        <v>152</v>
      </c>
      <c r="S6" s="695">
        <f t="shared" si="1"/>
        <v>150.37593984962405</v>
      </c>
      <c r="T6" s="695">
        <v>144</v>
      </c>
      <c r="U6" s="695">
        <f t="shared" si="2"/>
        <v>152.67175572519085</v>
      </c>
      <c r="V6" s="695">
        <v>160</v>
      </c>
      <c r="W6" s="695">
        <f t="shared" si="3"/>
        <v>143.88489208633092</v>
      </c>
      <c r="X6" s="695">
        <v>150</v>
      </c>
      <c r="Y6" s="684" t="s">
        <v>407</v>
      </c>
      <c r="AA6" s="684" t="s">
        <v>411</v>
      </c>
      <c r="AB6" s="695">
        <f>SUMIF($Y$4:$Y$25,$AA6,$R$4:$R$25)</f>
        <v>328</v>
      </c>
      <c r="AC6" s="695">
        <f>SUMIF($Y$4:$Y$25,$AA6,$T$4:$T$25)</f>
        <v>310</v>
      </c>
      <c r="AD6" s="695">
        <f>SUMIF($Y$4:$Y$25,$AA6,$V$4:$V$25)</f>
        <v>328</v>
      </c>
      <c r="AE6" s="695">
        <f>SUMIF($Y$4:$Y$25,$AA6,$X$4:$X$25)</f>
        <v>312</v>
      </c>
      <c r="AG6" s="713" t="s">
        <v>377</v>
      </c>
      <c r="AH6" s="695">
        <v>28</v>
      </c>
      <c r="AI6" s="695">
        <v>144</v>
      </c>
      <c r="AJ6" s="695">
        <v>144</v>
      </c>
      <c r="AK6" s="695">
        <v>14</v>
      </c>
      <c r="AL6" s="695">
        <v>28</v>
      </c>
      <c r="AM6" s="695">
        <v>44</v>
      </c>
      <c r="AN6" s="695">
        <v>116</v>
      </c>
      <c r="AO6" s="695">
        <v>44</v>
      </c>
      <c r="AP6" s="695">
        <v>44</v>
      </c>
      <c r="AQ6" s="695">
        <v>28</v>
      </c>
      <c r="AR6" s="695">
        <v>44</v>
      </c>
      <c r="AS6" s="695">
        <v>64</v>
      </c>
      <c r="AT6" s="695">
        <v>14</v>
      </c>
      <c r="AU6" s="695"/>
      <c r="AV6" s="695">
        <v>44</v>
      </c>
      <c r="AW6" s="695">
        <v>60</v>
      </c>
      <c r="AX6" s="695">
        <v>28</v>
      </c>
      <c r="AY6" s="695"/>
      <c r="AZ6" s="695">
        <v>28</v>
      </c>
      <c r="BA6" s="695">
        <v>28</v>
      </c>
      <c r="BB6" s="695">
        <v>28</v>
      </c>
      <c r="BC6" s="695">
        <v>28</v>
      </c>
      <c r="BD6" s="685">
        <f>SUM(AH6:BC6)</f>
        <v>1000</v>
      </c>
    </row>
    <row r="7" spans="2:56" ht="39.75" customHeight="1">
      <c r="B7" s="699" t="s">
        <v>410</v>
      </c>
      <c r="C7" s="699" t="s">
        <v>410</v>
      </c>
      <c r="D7" s="692">
        <v>3</v>
      </c>
      <c r="E7" s="699" t="s">
        <v>323</v>
      </c>
      <c r="F7" s="697"/>
      <c r="G7" s="701"/>
      <c r="H7" s="701"/>
      <c r="I7" s="698"/>
      <c r="J7" s="680" t="s">
        <v>456</v>
      </c>
      <c r="L7" s="697" t="s">
        <v>412</v>
      </c>
      <c r="M7" s="679" t="s">
        <v>412</v>
      </c>
      <c r="N7" s="680" t="s">
        <v>455</v>
      </c>
      <c r="O7" s="695">
        <v>10</v>
      </c>
      <c r="P7" s="696"/>
      <c r="Q7" s="695">
        <f t="shared" si="0"/>
        <v>16</v>
      </c>
      <c r="R7" s="695">
        <v>16</v>
      </c>
      <c r="S7" s="695">
        <f t="shared" si="1"/>
        <v>15.037593984962406</v>
      </c>
      <c r="T7" s="695">
        <v>14</v>
      </c>
      <c r="U7" s="695">
        <f t="shared" si="2"/>
        <v>15.267175572519085</v>
      </c>
      <c r="V7" s="695">
        <v>16</v>
      </c>
      <c r="W7" s="695">
        <f t="shared" si="3"/>
        <v>14.388489208633093</v>
      </c>
      <c r="X7" s="695">
        <v>16</v>
      </c>
      <c r="Y7" s="684" t="s">
        <v>426</v>
      </c>
      <c r="AA7" s="684" t="s">
        <v>416</v>
      </c>
      <c r="AB7" s="695">
        <f>SUMIF($Y$4:$Y$25,$AA7,$R$4:$R$25)</f>
        <v>30</v>
      </c>
      <c r="AC7" s="695">
        <f>SUMIF($Y$4:$Y$25,$AA7,$T$4:$T$25)</f>
        <v>56</v>
      </c>
      <c r="AD7" s="695">
        <f>SUMIF($Y$4:$Y$25,$AA7,$V$4:$V$25)</f>
        <v>32</v>
      </c>
      <c r="AE7" s="695">
        <f>SUMIF($Y$4:$Y$25,$AA7,$X$4:$X$25)</f>
        <v>60</v>
      </c>
      <c r="AG7" s="716" t="s">
        <v>369</v>
      </c>
      <c r="AH7" s="715">
        <v>28</v>
      </c>
      <c r="AI7" s="715">
        <v>150</v>
      </c>
      <c r="AJ7" s="715">
        <v>150</v>
      </c>
      <c r="AK7" s="715">
        <v>16</v>
      </c>
      <c r="AL7" s="715">
        <v>28</v>
      </c>
      <c r="AM7" s="715">
        <v>46</v>
      </c>
      <c r="AN7" s="715">
        <v>120</v>
      </c>
      <c r="AO7" s="715">
        <v>46</v>
      </c>
      <c r="AP7" s="715">
        <v>46</v>
      </c>
      <c r="AQ7" s="715">
        <v>30</v>
      </c>
      <c r="AR7" s="715">
        <v>46</v>
      </c>
      <c r="AS7" s="715">
        <v>68</v>
      </c>
      <c r="AT7" s="715">
        <v>16</v>
      </c>
      <c r="AU7" s="715">
        <v>16</v>
      </c>
      <c r="AV7" s="715">
        <v>44</v>
      </c>
      <c r="AW7" s="715">
        <v>60</v>
      </c>
      <c r="AX7" s="715">
        <v>30</v>
      </c>
      <c r="AY7" s="715"/>
      <c r="AZ7" s="715">
        <v>30</v>
      </c>
      <c r="BA7" s="715">
        <v>30</v>
      </c>
      <c r="BB7" s="715"/>
      <c r="BC7" s="715"/>
      <c r="BD7" s="714">
        <f>SUM(AH7:BC7)</f>
        <v>1000</v>
      </c>
    </row>
    <row r="8" spans="2:56" ht="30" customHeight="1">
      <c r="B8" s="699" t="s">
        <v>410</v>
      </c>
      <c r="C8" s="699" t="s">
        <v>410</v>
      </c>
      <c r="D8" s="692">
        <v>4</v>
      </c>
      <c r="E8" s="699" t="s">
        <v>350</v>
      </c>
      <c r="F8" s="699"/>
      <c r="G8" s="701"/>
      <c r="H8" s="701"/>
      <c r="I8" s="698"/>
      <c r="J8" s="680" t="s">
        <v>454</v>
      </c>
      <c r="L8" s="697" t="s">
        <v>453</v>
      </c>
      <c r="M8" s="679" t="s">
        <v>412</v>
      </c>
      <c r="N8" s="680" t="s">
        <v>412</v>
      </c>
      <c r="O8" s="695">
        <v>20</v>
      </c>
      <c r="P8" s="696"/>
      <c r="Q8" s="695">
        <f t="shared" si="0"/>
        <v>32</v>
      </c>
      <c r="R8" s="695">
        <v>30</v>
      </c>
      <c r="S8" s="695">
        <f t="shared" si="1"/>
        <v>30.075187969924812</v>
      </c>
      <c r="T8" s="695">
        <v>28</v>
      </c>
      <c r="U8" s="695">
        <f t="shared" si="2"/>
        <v>30.534351145038169</v>
      </c>
      <c r="V8" s="695">
        <v>32</v>
      </c>
      <c r="W8" s="695">
        <f t="shared" si="3"/>
        <v>28.776978417266186</v>
      </c>
      <c r="X8" s="695">
        <v>28</v>
      </c>
      <c r="Y8" s="684" t="s">
        <v>407</v>
      </c>
      <c r="AB8" s="679">
        <f>SUM(AB4:AB7)</f>
        <v>1000</v>
      </c>
      <c r="AC8" s="679">
        <f>SUM(AC4:AC7)</f>
        <v>1000</v>
      </c>
      <c r="AD8" s="679">
        <f>SUM(AD4:AD7)</f>
        <v>1000</v>
      </c>
      <c r="AE8" s="679">
        <f>SUM(AE4:AE7)</f>
        <v>1000</v>
      </c>
      <c r="AG8" s="713" t="s">
        <v>365</v>
      </c>
      <c r="AH8" s="695">
        <v>32</v>
      </c>
      <c r="AI8" s="695">
        <v>160</v>
      </c>
      <c r="AJ8" s="695">
        <v>160</v>
      </c>
      <c r="AK8" s="695">
        <v>16</v>
      </c>
      <c r="AL8" s="695">
        <v>32</v>
      </c>
      <c r="AM8" s="695">
        <v>48</v>
      </c>
      <c r="AN8" s="695">
        <v>128</v>
      </c>
      <c r="AO8" s="695">
        <v>48</v>
      </c>
      <c r="AP8" s="695">
        <v>48</v>
      </c>
      <c r="AQ8" s="695">
        <v>32</v>
      </c>
      <c r="AR8" s="695">
        <v>48</v>
      </c>
      <c r="AS8" s="695">
        <v>72</v>
      </c>
      <c r="AT8" s="695">
        <v>16</v>
      </c>
      <c r="AU8" s="695">
        <v>16</v>
      </c>
      <c r="AV8" s="695">
        <v>48</v>
      </c>
      <c r="AW8" s="695">
        <v>64</v>
      </c>
      <c r="AX8" s="695">
        <v>32</v>
      </c>
      <c r="AY8" s="695"/>
      <c r="AZ8" s="695"/>
      <c r="BA8" s="695"/>
      <c r="BB8" s="695"/>
      <c r="BC8" s="695"/>
      <c r="BD8" s="685">
        <f>SUM(AH8:BC8)</f>
        <v>1000</v>
      </c>
    </row>
    <row r="9" spans="2:56" ht="67.5" customHeight="1">
      <c r="B9" s="699" t="s">
        <v>410</v>
      </c>
      <c r="C9" s="699" t="s">
        <v>410</v>
      </c>
      <c r="D9" s="692">
        <v>5</v>
      </c>
      <c r="E9" s="699" t="s">
        <v>348</v>
      </c>
      <c r="F9" s="699"/>
      <c r="G9" s="701"/>
      <c r="H9" s="701"/>
      <c r="I9" s="698"/>
      <c r="J9" s="680" t="s">
        <v>452</v>
      </c>
      <c r="L9" s="697" t="s">
        <v>451</v>
      </c>
      <c r="M9" s="679" t="s">
        <v>450</v>
      </c>
      <c r="N9" s="680" t="s">
        <v>408</v>
      </c>
      <c r="O9" s="695">
        <v>30</v>
      </c>
      <c r="P9" s="696"/>
      <c r="Q9" s="695">
        <f t="shared" si="0"/>
        <v>48</v>
      </c>
      <c r="R9" s="695">
        <v>46</v>
      </c>
      <c r="S9" s="695">
        <f t="shared" si="1"/>
        <v>45.112781954887218</v>
      </c>
      <c r="T9" s="695">
        <v>44</v>
      </c>
      <c r="U9" s="695">
        <f t="shared" si="2"/>
        <v>45.801526717557252</v>
      </c>
      <c r="V9" s="695">
        <v>48</v>
      </c>
      <c r="W9" s="695">
        <f t="shared" si="3"/>
        <v>43.165467625899282</v>
      </c>
      <c r="X9" s="695">
        <v>46</v>
      </c>
      <c r="Y9" s="684" t="s">
        <v>407</v>
      </c>
      <c r="AG9" s="687"/>
      <c r="AH9" s="680"/>
      <c r="AI9" s="680"/>
      <c r="AJ9" s="680"/>
      <c r="AK9" s="680"/>
      <c r="AL9" s="680"/>
      <c r="AM9" s="680"/>
      <c r="AN9" s="680"/>
      <c r="AO9" s="680"/>
      <c r="AP9" s="680"/>
      <c r="AQ9" s="680"/>
      <c r="AR9" s="680"/>
      <c r="AS9" s="680"/>
      <c r="AT9" s="680"/>
      <c r="AU9" s="680"/>
      <c r="AV9" s="680"/>
      <c r="AW9" s="680"/>
      <c r="AX9" s="680"/>
      <c r="AY9" s="680"/>
      <c r="BD9" s="688"/>
    </row>
    <row r="10" spans="2:56" ht="21.75" customHeight="1">
      <c r="B10" s="699" t="s">
        <v>410</v>
      </c>
      <c r="C10" s="699" t="s">
        <v>410</v>
      </c>
      <c r="D10" s="692">
        <v>6</v>
      </c>
      <c r="E10" s="699" t="s">
        <v>312</v>
      </c>
      <c r="F10" s="699"/>
      <c r="G10" s="701"/>
      <c r="H10" s="701"/>
      <c r="I10" s="698"/>
      <c r="J10" s="680" t="s">
        <v>449</v>
      </c>
      <c r="L10" s="697" t="s">
        <v>448</v>
      </c>
      <c r="M10" s="679" t="s">
        <v>447</v>
      </c>
      <c r="N10" s="680" t="s">
        <v>446</v>
      </c>
      <c r="O10" s="711">
        <v>80</v>
      </c>
      <c r="P10" s="696"/>
      <c r="Q10" s="695">
        <f t="shared" si="0"/>
        <v>128</v>
      </c>
      <c r="R10" s="695">
        <v>122</v>
      </c>
      <c r="S10" s="695">
        <f t="shared" si="1"/>
        <v>120.30075187969925</v>
      </c>
      <c r="T10" s="695">
        <v>116</v>
      </c>
      <c r="U10" s="695">
        <f t="shared" si="2"/>
        <v>122.13740458015268</v>
      </c>
      <c r="V10" s="695">
        <v>128</v>
      </c>
      <c r="W10" s="695">
        <f t="shared" si="3"/>
        <v>115.10791366906474</v>
      </c>
      <c r="X10" s="695">
        <v>120</v>
      </c>
      <c r="Y10" s="684" t="s">
        <v>411</v>
      </c>
      <c r="AG10" s="688"/>
      <c r="BD10" s="688"/>
    </row>
    <row r="11" spans="2:56" ht="21.75" customHeight="1">
      <c r="B11" s="699" t="s">
        <v>410</v>
      </c>
      <c r="C11" s="699" t="s">
        <v>410</v>
      </c>
      <c r="D11" s="692">
        <v>7</v>
      </c>
      <c r="E11" s="699" t="s">
        <v>310</v>
      </c>
      <c r="F11" s="699"/>
      <c r="G11" s="701"/>
      <c r="H11" s="701"/>
      <c r="I11" s="698"/>
      <c r="J11" s="680" t="s">
        <v>445</v>
      </c>
      <c r="L11" s="697" t="s">
        <v>444</v>
      </c>
      <c r="M11" s="679" t="s">
        <v>412</v>
      </c>
      <c r="N11" s="680" t="s">
        <v>412</v>
      </c>
      <c r="O11" s="695">
        <v>30</v>
      </c>
      <c r="P11" s="696"/>
      <c r="Q11" s="695">
        <f t="shared" si="0"/>
        <v>48</v>
      </c>
      <c r="R11" s="695">
        <v>46</v>
      </c>
      <c r="S11" s="695">
        <f t="shared" si="1"/>
        <v>45.112781954887218</v>
      </c>
      <c r="T11" s="695">
        <v>44</v>
      </c>
      <c r="U11" s="695">
        <f t="shared" si="2"/>
        <v>45.801526717557252</v>
      </c>
      <c r="V11" s="695">
        <v>48</v>
      </c>
      <c r="W11" s="695">
        <f t="shared" si="3"/>
        <v>43.165467625899282</v>
      </c>
      <c r="X11" s="695">
        <v>46</v>
      </c>
      <c r="Y11" s="684" t="s">
        <v>411</v>
      </c>
      <c r="AG11" s="688" t="s">
        <v>443</v>
      </c>
      <c r="AH11" s="680"/>
      <c r="AI11" s="680"/>
      <c r="AJ11" s="680"/>
      <c r="AK11" s="680"/>
      <c r="AL11" s="680"/>
      <c r="AM11" s="680"/>
      <c r="AN11" s="680"/>
      <c r="AO11" s="680"/>
      <c r="AP11" s="680"/>
      <c r="AQ11" s="680"/>
      <c r="AR11" s="680"/>
      <c r="AS11" s="680"/>
      <c r="AT11" s="680"/>
      <c r="AU11" s="680"/>
      <c r="AV11" s="680"/>
      <c r="AW11" s="680"/>
      <c r="AX11" s="680"/>
      <c r="AY11" s="680"/>
      <c r="AZ11" s="680"/>
      <c r="BA11" s="680"/>
      <c r="BB11" s="680"/>
      <c r="BC11" s="680"/>
      <c r="BD11" s="687"/>
    </row>
    <row r="12" spans="2:56" ht="45" customHeight="1">
      <c r="B12" s="699" t="s">
        <v>410</v>
      </c>
      <c r="C12" s="699" t="s">
        <v>410</v>
      </c>
      <c r="D12" s="692">
        <v>8</v>
      </c>
      <c r="E12" s="699" t="s">
        <v>322</v>
      </c>
      <c r="F12" s="699"/>
      <c r="G12" s="701"/>
      <c r="H12" s="701"/>
      <c r="I12" s="698"/>
      <c r="J12" s="680" t="s">
        <v>442</v>
      </c>
      <c r="L12" s="697" t="s">
        <v>412</v>
      </c>
      <c r="M12" s="679" t="s">
        <v>412</v>
      </c>
      <c r="N12" s="680" t="s">
        <v>412</v>
      </c>
      <c r="O12" s="695">
        <v>30</v>
      </c>
      <c r="P12" s="696"/>
      <c r="Q12" s="695">
        <f t="shared" si="0"/>
        <v>48</v>
      </c>
      <c r="R12" s="695">
        <v>46</v>
      </c>
      <c r="S12" s="695">
        <f t="shared" si="1"/>
        <v>45.112781954887218</v>
      </c>
      <c r="T12" s="695">
        <v>44</v>
      </c>
      <c r="U12" s="695">
        <f t="shared" si="2"/>
        <v>45.801526717557252</v>
      </c>
      <c r="V12" s="695">
        <v>48</v>
      </c>
      <c r="W12" s="695">
        <f t="shared" si="3"/>
        <v>43.165467625899282</v>
      </c>
      <c r="X12" s="695">
        <v>46</v>
      </c>
      <c r="Y12" s="684" t="s">
        <v>426</v>
      </c>
      <c r="AG12" s="679" t="s">
        <v>379</v>
      </c>
      <c r="AI12" s="710" t="s">
        <v>441</v>
      </c>
      <c r="AJ12" s="712"/>
      <c r="AY12" s="680"/>
      <c r="BD12" s="688"/>
    </row>
    <row r="13" spans="2:56" ht="30" customHeight="1">
      <c r="B13" s="699" t="s">
        <v>410</v>
      </c>
      <c r="C13" s="699" t="s">
        <v>410</v>
      </c>
      <c r="D13" s="692">
        <v>9</v>
      </c>
      <c r="E13" s="699" t="s">
        <v>320</v>
      </c>
      <c r="F13" s="699"/>
      <c r="G13" s="701"/>
      <c r="H13" s="701"/>
      <c r="I13" s="698"/>
      <c r="J13" s="680" t="s">
        <v>440</v>
      </c>
      <c r="L13" s="697" t="s">
        <v>412</v>
      </c>
      <c r="M13" s="679" t="s">
        <v>412</v>
      </c>
      <c r="N13" s="680" t="s">
        <v>412</v>
      </c>
      <c r="O13" s="695">
        <v>20</v>
      </c>
      <c r="P13" s="696"/>
      <c r="Q13" s="695">
        <f t="shared" si="0"/>
        <v>32</v>
      </c>
      <c r="R13" s="695">
        <v>30</v>
      </c>
      <c r="S13" s="695">
        <f t="shared" si="1"/>
        <v>30.075187969924812</v>
      </c>
      <c r="T13" s="695">
        <v>28</v>
      </c>
      <c r="U13" s="695">
        <f t="shared" si="2"/>
        <v>30.534351145038169</v>
      </c>
      <c r="V13" s="695">
        <v>32</v>
      </c>
      <c r="W13" s="695">
        <f t="shared" si="3"/>
        <v>28.776978417266186</v>
      </c>
      <c r="X13" s="695">
        <v>30</v>
      </c>
      <c r="Y13" s="684" t="s">
        <v>426</v>
      </c>
      <c r="AG13" s="680" t="s">
        <v>376</v>
      </c>
      <c r="AH13" s="680"/>
      <c r="AI13" s="710" t="s">
        <v>439</v>
      </c>
      <c r="AJ13" s="712"/>
      <c r="AK13" s="680"/>
      <c r="AL13" s="680"/>
      <c r="AM13" s="680"/>
      <c r="AN13" s="680"/>
      <c r="AO13" s="680"/>
      <c r="AP13" s="680"/>
      <c r="AQ13" s="680"/>
      <c r="AR13" s="680"/>
      <c r="AS13" s="680"/>
      <c r="AT13" s="680"/>
      <c r="AU13" s="680"/>
      <c r="AV13" s="680"/>
      <c r="AW13" s="680"/>
      <c r="AX13" s="680"/>
      <c r="AY13" s="680"/>
      <c r="AZ13" s="680"/>
      <c r="BA13" s="680"/>
      <c r="BB13" s="680"/>
      <c r="BC13" s="680"/>
      <c r="BD13" s="687"/>
    </row>
    <row r="14" spans="2:56" ht="21.75" customHeight="1">
      <c r="B14" s="699" t="s">
        <v>410</v>
      </c>
      <c r="C14" s="699" t="s">
        <v>410</v>
      </c>
      <c r="D14" s="692">
        <v>10</v>
      </c>
      <c r="E14" s="699" t="s">
        <v>309</v>
      </c>
      <c r="F14" s="699"/>
      <c r="G14" s="701"/>
      <c r="H14" s="701"/>
      <c r="I14" s="698"/>
      <c r="J14" s="680" t="s">
        <v>438</v>
      </c>
      <c r="L14" s="697" t="s">
        <v>412</v>
      </c>
      <c r="M14" s="679" t="s">
        <v>412</v>
      </c>
      <c r="N14" s="680" t="s">
        <v>412</v>
      </c>
      <c r="O14" s="695">
        <v>30</v>
      </c>
      <c r="P14" s="696"/>
      <c r="Q14" s="695">
        <f t="shared" si="0"/>
        <v>48</v>
      </c>
      <c r="R14" s="695">
        <v>46</v>
      </c>
      <c r="S14" s="695">
        <f t="shared" si="1"/>
        <v>45.112781954887218</v>
      </c>
      <c r="T14" s="695">
        <v>44</v>
      </c>
      <c r="U14" s="695">
        <f t="shared" si="2"/>
        <v>45.801526717557252</v>
      </c>
      <c r="V14" s="695">
        <v>48</v>
      </c>
      <c r="W14" s="695">
        <f t="shared" si="3"/>
        <v>43.165467625899282</v>
      </c>
      <c r="X14" s="695">
        <v>46</v>
      </c>
      <c r="Y14" s="684" t="s">
        <v>411</v>
      </c>
      <c r="AG14" s="687"/>
      <c r="BD14" s="688"/>
    </row>
    <row r="15" spans="2:56" ht="21.75" customHeight="1">
      <c r="B15" s="699" t="s">
        <v>410</v>
      </c>
      <c r="C15" s="699" t="s">
        <v>410</v>
      </c>
      <c r="D15" s="692">
        <v>11</v>
      </c>
      <c r="E15" s="699" t="s">
        <v>307</v>
      </c>
      <c r="F15" s="699"/>
      <c r="G15" s="701"/>
      <c r="H15" s="701"/>
      <c r="I15" s="698"/>
      <c r="J15" s="680" t="s">
        <v>437</v>
      </c>
      <c r="L15" s="697" t="s">
        <v>412</v>
      </c>
      <c r="M15" s="679" t="s">
        <v>412</v>
      </c>
      <c r="N15" s="680" t="s">
        <v>412</v>
      </c>
      <c r="O15" s="711">
        <v>45</v>
      </c>
      <c r="P15" s="696"/>
      <c r="Q15" s="695">
        <f t="shared" si="0"/>
        <v>72</v>
      </c>
      <c r="R15" s="695">
        <v>68</v>
      </c>
      <c r="S15" s="695">
        <f t="shared" si="1"/>
        <v>67.669172932330824</v>
      </c>
      <c r="T15" s="695">
        <v>64</v>
      </c>
      <c r="U15" s="695">
        <f t="shared" si="2"/>
        <v>68.702290076335885</v>
      </c>
      <c r="V15" s="695">
        <v>72</v>
      </c>
      <c r="W15" s="695">
        <f t="shared" si="3"/>
        <v>64.748201438848923</v>
      </c>
      <c r="X15" s="695">
        <v>68</v>
      </c>
      <c r="Y15" s="684" t="s">
        <v>411</v>
      </c>
      <c r="AG15" s="688" t="s">
        <v>436</v>
      </c>
      <c r="AH15" s="680"/>
      <c r="AI15" s="680"/>
      <c r="AJ15" s="680"/>
      <c r="AK15" s="680"/>
      <c r="AL15" s="680"/>
      <c r="AM15" s="680"/>
      <c r="AN15" s="680"/>
      <c r="AO15" s="680"/>
      <c r="AP15" s="680"/>
      <c r="AQ15" s="680"/>
      <c r="AR15" s="680"/>
      <c r="AS15" s="680"/>
      <c r="AT15" s="680"/>
      <c r="AU15" s="680"/>
      <c r="AV15" s="680"/>
      <c r="AW15" s="680"/>
      <c r="AX15" s="680"/>
      <c r="AY15" s="680"/>
      <c r="AZ15" s="680"/>
      <c r="BA15" s="680"/>
      <c r="BB15" s="680"/>
      <c r="BC15" s="680"/>
      <c r="BD15" s="687"/>
    </row>
    <row r="16" spans="2:56" ht="21.75" customHeight="1">
      <c r="B16" s="699" t="s">
        <v>410</v>
      </c>
      <c r="C16" s="699" t="s">
        <v>410</v>
      </c>
      <c r="D16" s="692">
        <v>12</v>
      </c>
      <c r="E16" s="699" t="s">
        <v>304</v>
      </c>
      <c r="F16" s="699"/>
      <c r="G16" s="701"/>
      <c r="H16" s="701"/>
      <c r="I16" s="698"/>
      <c r="J16" s="680" t="s">
        <v>435</v>
      </c>
      <c r="L16" s="697" t="s">
        <v>412</v>
      </c>
      <c r="M16" s="679" t="s">
        <v>412</v>
      </c>
      <c r="N16" s="680" t="s">
        <v>412</v>
      </c>
      <c r="O16" s="695">
        <v>10</v>
      </c>
      <c r="P16" s="696"/>
      <c r="Q16" s="695">
        <f t="shared" si="0"/>
        <v>16</v>
      </c>
      <c r="R16" s="695">
        <v>16</v>
      </c>
      <c r="S16" s="695">
        <f t="shared" si="1"/>
        <v>15.037593984962406</v>
      </c>
      <c r="T16" s="695">
        <v>14</v>
      </c>
      <c r="U16" s="695">
        <f t="shared" si="2"/>
        <v>15.267175572519085</v>
      </c>
      <c r="V16" s="695">
        <v>16</v>
      </c>
      <c r="W16" s="695">
        <f t="shared" si="3"/>
        <v>14.388489208633093</v>
      </c>
      <c r="X16" s="695">
        <v>16</v>
      </c>
      <c r="Y16" s="684" t="s">
        <v>411</v>
      </c>
      <c r="AG16" s="679" t="s">
        <v>379</v>
      </c>
      <c r="AI16" s="694" t="s">
        <v>434</v>
      </c>
      <c r="AJ16" s="693"/>
      <c r="BD16" s="688"/>
    </row>
    <row r="17" spans="2:56" ht="21.75" customHeight="1">
      <c r="B17" s="699" t="s">
        <v>410</v>
      </c>
      <c r="C17" s="699"/>
      <c r="D17" s="692">
        <v>13</v>
      </c>
      <c r="E17" s="699" t="s">
        <v>302</v>
      </c>
      <c r="F17" s="699"/>
      <c r="G17" s="701"/>
      <c r="H17" s="701"/>
      <c r="I17" s="698"/>
      <c r="J17" s="680" t="s">
        <v>433</v>
      </c>
      <c r="L17" s="697" t="s">
        <v>412</v>
      </c>
      <c r="M17" s="679" t="s">
        <v>412</v>
      </c>
      <c r="N17" s="680" t="s">
        <v>412</v>
      </c>
      <c r="O17" s="695">
        <v>10</v>
      </c>
      <c r="P17" s="696"/>
      <c r="Q17" s="695">
        <f>O17*(1000/($O$4+$O$5+$O$6+$O$7+$O$8+$O$9+$O$10+$O$11+$O$12+$O$13+$O$14+$O$15+$O$16+$O$17+$O$18+$O$19+$O$20+$O$21))</f>
        <v>16</v>
      </c>
      <c r="R17" s="695"/>
      <c r="S17" s="695">
        <f t="shared" si="1"/>
        <v>15.037593984962406</v>
      </c>
      <c r="T17" s="695"/>
      <c r="U17" s="695"/>
      <c r="V17" s="695">
        <v>16</v>
      </c>
      <c r="W17" s="695"/>
      <c r="X17" s="695">
        <v>16</v>
      </c>
      <c r="Y17" s="684" t="s">
        <v>411</v>
      </c>
      <c r="AG17" s="680" t="s">
        <v>376</v>
      </c>
      <c r="AI17" s="710" t="s">
        <v>432</v>
      </c>
    </row>
    <row r="18" spans="2:56" ht="21.75" customHeight="1">
      <c r="B18" s="699" t="s">
        <v>410</v>
      </c>
      <c r="C18" s="699" t="s">
        <v>410</v>
      </c>
      <c r="D18" s="692">
        <v>14</v>
      </c>
      <c r="E18" s="709" t="s">
        <v>431</v>
      </c>
      <c r="F18" s="699"/>
      <c r="G18" s="701"/>
      <c r="H18" s="701"/>
      <c r="I18" s="698"/>
      <c r="J18" s="680" t="s">
        <v>430</v>
      </c>
      <c r="L18" s="697" t="s">
        <v>429</v>
      </c>
      <c r="M18" s="679" t="s">
        <v>428</v>
      </c>
      <c r="N18" s="680" t="s">
        <v>412</v>
      </c>
      <c r="O18" s="695">
        <v>30</v>
      </c>
      <c r="P18" s="696"/>
      <c r="Q18" s="695">
        <f>O18*(1000/($O$4+$O$5+$O$6+$O$7+$O$8+$O$9+$O$10+$O$11+$O$12+$O$13+$O$14+$O$15+$O$16+$O$17+$O$18+$O$19+$O$20))</f>
        <v>48</v>
      </c>
      <c r="R18" s="695">
        <v>46</v>
      </c>
      <c r="S18" s="695">
        <f t="shared" si="1"/>
        <v>45.112781954887218</v>
      </c>
      <c r="T18" s="695">
        <v>44</v>
      </c>
      <c r="U18" s="695">
        <f>O18*1000/($O$4+$O$5+$O$6+$O$7+$O$8+$O$9+$O$10+$O$11+$O$12+$O$13+$O$14+$O$15+$O$16+$O$18+$O$19+$O$20+$O$21+$O$24+$O$25)</f>
        <v>45.801526717557252</v>
      </c>
      <c r="V18" s="695">
        <v>48</v>
      </c>
      <c r="W18" s="695">
        <f>O18*1000/($O$4+$O$5+$O$6+$O$7+$O$8+$O$9+$O$10+$O$11+$O$12+$O$13+$O$14+$O$15+$O$16+$O$18+$O$19+$O$20+$O$21+$O$24+$O$25+$O$22+$O$23)</f>
        <v>43.165467625899282</v>
      </c>
      <c r="X18" s="695">
        <v>44</v>
      </c>
      <c r="Y18" s="684" t="s">
        <v>407</v>
      </c>
      <c r="AG18" s="687"/>
      <c r="BD18" s="688"/>
    </row>
    <row r="19" spans="2:56" ht="21.75" customHeight="1">
      <c r="B19" s="699" t="s">
        <v>410</v>
      </c>
      <c r="C19" s="699" t="s">
        <v>410</v>
      </c>
      <c r="D19" s="692">
        <v>15</v>
      </c>
      <c r="E19" s="699" t="s">
        <v>315</v>
      </c>
      <c r="F19" s="699"/>
      <c r="G19" s="701"/>
      <c r="H19" s="701"/>
      <c r="I19" s="698"/>
      <c r="J19" s="680" t="s">
        <v>427</v>
      </c>
      <c r="L19" s="697" t="s">
        <v>412</v>
      </c>
      <c r="M19" s="679" t="s">
        <v>412</v>
      </c>
      <c r="N19" s="680" t="s">
        <v>412</v>
      </c>
      <c r="O19" s="695">
        <v>40</v>
      </c>
      <c r="P19" s="696"/>
      <c r="Q19" s="695">
        <f>O19*(1000/($O$4+$O$5+$O$6+$O$7+$O$8+$O$9+$O$10+$O$11+$O$12+$O$13+$O$14+$O$15+$O$16+$O$17+$O$18+$O$19+$O$20))</f>
        <v>64</v>
      </c>
      <c r="R19" s="695">
        <v>64</v>
      </c>
      <c r="S19" s="695">
        <f t="shared" si="1"/>
        <v>60.150375939849624</v>
      </c>
      <c r="T19" s="695">
        <v>60</v>
      </c>
      <c r="U19" s="695">
        <f>O19*1000/($O$4+$O$5+$O$6+$O$7+$O$8+$O$9+$O$10+$O$11+$O$12+$O$13+$O$14+$O$15+$O$16+$O$18+$O$19+$O$20+$O$21+$O$24+$O$25)</f>
        <v>61.068702290076338</v>
      </c>
      <c r="V19" s="695">
        <v>64</v>
      </c>
      <c r="W19" s="695">
        <f>O19*1000/($O$4+$O$5+$O$6+$O$7+$O$8+$O$9+$O$10+$O$11+$O$12+$O$13+$O$14+$O$15+$O$16+$O$18+$O$19+$O$20+$O$21+$O$24+$O$25+$O$22+$O$23)</f>
        <v>57.553956834532372</v>
      </c>
      <c r="X19" s="695">
        <v>60</v>
      </c>
      <c r="Y19" s="684" t="s">
        <v>426</v>
      </c>
      <c r="AG19" s="679" t="s">
        <v>425</v>
      </c>
      <c r="AI19" s="708" t="s">
        <v>424</v>
      </c>
      <c r="AJ19" s="707"/>
    </row>
    <row r="20" spans="2:56" ht="21.75" customHeight="1">
      <c r="B20" s="699" t="s">
        <v>410</v>
      </c>
      <c r="C20" s="699" t="s">
        <v>410</v>
      </c>
      <c r="D20" s="692">
        <v>16</v>
      </c>
      <c r="E20" s="699" t="s">
        <v>295</v>
      </c>
      <c r="F20" s="699"/>
      <c r="G20" s="701"/>
      <c r="H20" s="701"/>
      <c r="I20" s="698"/>
      <c r="J20" s="680" t="s">
        <v>423</v>
      </c>
      <c r="L20" s="697" t="s">
        <v>412</v>
      </c>
      <c r="M20" s="679" t="s">
        <v>412</v>
      </c>
      <c r="N20" s="680" t="s">
        <v>412</v>
      </c>
      <c r="O20" s="695">
        <v>20</v>
      </c>
      <c r="P20" s="696"/>
      <c r="Q20" s="695">
        <f>O20*(1000/($O$4+$O$5+$O$6+$O$7+$O$8+$O$9+$O$10+$O$11+$O$12+$O$13+$O$14+$O$15+$O$16+$O$17+$O$18+$O$19+$O$20))</f>
        <v>32</v>
      </c>
      <c r="R20" s="695">
        <v>30</v>
      </c>
      <c r="S20" s="695">
        <f t="shared" si="1"/>
        <v>30.075187969924812</v>
      </c>
      <c r="T20" s="695">
        <v>28</v>
      </c>
      <c r="U20" s="695">
        <f>O20*1000/($O$4+$O$5+$O$6+$O$7+$O$8+$O$9+$O$10+$O$11+$O$12+$O$13+$O$14+$O$15+$O$16+$O$18+$O$19+$O$20+$O$21+$O$24+$O$25)</f>
        <v>30.534351145038169</v>
      </c>
      <c r="V20" s="695">
        <v>32</v>
      </c>
      <c r="W20" s="695">
        <f>O20*1000/($O$4+$O$5+$O$6+$O$7+$O$8+$O$9+$O$10+$O$11+$O$12+$O$13+$O$14+$O$15+$O$16+$O$18+$O$19+$O$20+$O$21+$O$24+$O$25+$O$22+$O$23)</f>
        <v>28.776978417266186</v>
      </c>
      <c r="X20" s="695">
        <v>30</v>
      </c>
      <c r="Y20" s="684" t="s">
        <v>416</v>
      </c>
      <c r="AI20" s="706"/>
      <c r="AJ20" s="706"/>
      <c r="AK20" s="706"/>
      <c r="BD20" s="688"/>
    </row>
    <row r="21" spans="2:56" ht="21.75" customHeight="1">
      <c r="B21" s="699" t="s">
        <v>410</v>
      </c>
      <c r="C21" s="699" t="s">
        <v>410</v>
      </c>
      <c r="D21" s="692">
        <v>17</v>
      </c>
      <c r="E21" s="699"/>
      <c r="F21" s="699"/>
      <c r="G21" s="701"/>
      <c r="H21" s="701"/>
      <c r="I21" s="698"/>
      <c r="J21" s="680" t="s">
        <v>422</v>
      </c>
      <c r="L21" s="697" t="s">
        <v>421</v>
      </c>
      <c r="M21" s="697" t="s">
        <v>421</v>
      </c>
      <c r="N21" s="680" t="s">
        <v>421</v>
      </c>
      <c r="O21" s="695"/>
      <c r="P21" s="696" t="s">
        <v>420</v>
      </c>
      <c r="Q21" s="695"/>
      <c r="R21" s="695"/>
      <c r="S21" s="695"/>
      <c r="T21" s="695"/>
      <c r="U21" s="695"/>
      <c r="V21" s="695"/>
      <c r="W21" s="695"/>
      <c r="X21" s="695"/>
      <c r="Y21" s="695"/>
      <c r="AG21" s="679" t="s">
        <v>419</v>
      </c>
      <c r="AI21" s="705" t="s">
        <v>418</v>
      </c>
      <c r="AJ21" s="704"/>
    </row>
    <row r="22" spans="2:56" ht="21.75" customHeight="1">
      <c r="B22" s="699"/>
      <c r="C22" s="703" t="s">
        <v>410</v>
      </c>
      <c r="D22" s="702">
        <v>17</v>
      </c>
      <c r="E22" s="699" t="s">
        <v>293</v>
      </c>
      <c r="F22" s="699"/>
      <c r="G22" s="701"/>
      <c r="H22" s="701"/>
      <c r="I22" s="698"/>
      <c r="L22" s="697" t="s">
        <v>417</v>
      </c>
      <c r="M22" s="679" t="s">
        <v>412</v>
      </c>
      <c r="N22" s="680" t="s">
        <v>408</v>
      </c>
      <c r="O22" s="695">
        <v>20</v>
      </c>
      <c r="P22" s="696"/>
      <c r="Q22" s="695"/>
      <c r="R22" s="695"/>
      <c r="S22" s="695">
        <f>O22*(1000/($O$4+$O$5+$O$6+$O$7+$O$8+$O$9+$O$10+$O$11+$O$12+$O$13+$O$14+$O$15+$O$16+$O$17+$O$18+$O$19+$O$20+$O$22+$O$23))</f>
        <v>30.075187969924812</v>
      </c>
      <c r="T22" s="695">
        <v>28</v>
      </c>
      <c r="U22" s="695"/>
      <c r="V22" s="695"/>
      <c r="W22" s="695">
        <f>O22*1000/($O$4+$O$5+$O$6+$O$7+$O$8+$O$9+$O$10+$O$11+$O$12+$O$13+$O$14+$O$15+$O$16+$O$18+$O$19+$O$20+$O$21+$O$24+$O$25+$O$22+$O$23)</f>
        <v>28.776978417266186</v>
      </c>
      <c r="X22" s="695">
        <v>30</v>
      </c>
      <c r="Y22" s="684" t="s">
        <v>416</v>
      </c>
      <c r="AG22" s="687"/>
      <c r="BD22" s="688"/>
    </row>
    <row r="23" spans="2:56" ht="21.75" customHeight="1">
      <c r="B23" s="699"/>
      <c r="C23" s="699" t="s">
        <v>410</v>
      </c>
      <c r="D23" s="692">
        <v>18</v>
      </c>
      <c r="E23" s="699" t="s">
        <v>331</v>
      </c>
      <c r="F23" s="699"/>
      <c r="G23" s="701"/>
      <c r="H23" s="701"/>
      <c r="I23" s="698"/>
      <c r="L23" s="697" t="s">
        <v>409</v>
      </c>
      <c r="M23" s="679" t="s">
        <v>412</v>
      </c>
      <c r="N23" s="680" t="s">
        <v>415</v>
      </c>
      <c r="O23" s="695">
        <v>20</v>
      </c>
      <c r="P23" s="696"/>
      <c r="Q23" s="695"/>
      <c r="R23" s="695"/>
      <c r="S23" s="695">
        <f>O23*(1000/($O$4+$O$5+$O$6+$O$7+$O$8+$O$9+$O$10+$O$11+$O$12+$O$13+$O$14+$O$15+$O$16+$O$17+$O$18+$O$19+$O$20+$O$22+$O$23))</f>
        <v>30.075187969924812</v>
      </c>
      <c r="T23" s="695">
        <v>28</v>
      </c>
      <c r="U23" s="695"/>
      <c r="V23" s="695"/>
      <c r="W23" s="695">
        <f>O23*1000/($O$4+$O$5+$O$6+$O$7+$O$8+$O$9+$O$10+$O$11+$O$12+$O$13+$O$14+$O$15+$O$16+$O$18+$O$19+$O$20+$O$21+$O$24+$O$25+$O$22+$O$23)</f>
        <v>28.776978417266186</v>
      </c>
      <c r="X23" s="695">
        <v>30</v>
      </c>
      <c r="Y23" s="684" t="s">
        <v>407</v>
      </c>
      <c r="AG23" s="679" t="s">
        <v>414</v>
      </c>
      <c r="AI23" s="683" t="s">
        <v>413</v>
      </c>
      <c r="AJ23" s="682"/>
    </row>
    <row r="24" spans="2:56" ht="21.75" customHeight="1">
      <c r="B24" s="699"/>
      <c r="C24" s="699" t="s">
        <v>410</v>
      </c>
      <c r="D24" s="692">
        <v>19</v>
      </c>
      <c r="E24" s="699" t="s">
        <v>300</v>
      </c>
      <c r="F24" s="699"/>
      <c r="I24" s="698"/>
      <c r="L24" s="697" t="s">
        <v>409</v>
      </c>
      <c r="N24" s="680" t="s">
        <v>412</v>
      </c>
      <c r="O24" s="695">
        <v>20</v>
      </c>
      <c r="P24" s="696"/>
      <c r="Q24" s="695"/>
      <c r="R24" s="695">
        <v>30</v>
      </c>
      <c r="S24" s="695"/>
      <c r="T24" s="695">
        <v>28</v>
      </c>
      <c r="U24" s="695">
        <f>O24*1000/($O$4+$O$5+$O$6+$O$7+$O$8+$O$9+$O$10+$O$11+$O$12+$O$13+$O$14+$O$15+$O$16+$O$18+$O$19+$O$20+$O$21+$O$24+$O$25)</f>
        <v>30.534351145038169</v>
      </c>
      <c r="V24" s="695"/>
      <c r="W24" s="695">
        <f>O24*1000/($O$4+$O$5+$O$6+$O$7+$O$8+$O$9+$O$10+$O$11+$O$12+$O$13+$O$14+$O$15+$O$16+$O$18+$O$19+$O$20+$O$21+$O$24+$O$25+$O$22+$O$23)</f>
        <v>28.776978417266186</v>
      </c>
      <c r="X24" s="695"/>
      <c r="Y24" s="684" t="s">
        <v>411</v>
      </c>
      <c r="AG24" s="687"/>
      <c r="AH24" s="700"/>
      <c r="AI24" s="700"/>
      <c r="AJ24" s="700"/>
      <c r="AK24" s="700"/>
      <c r="AL24" s="700"/>
      <c r="AM24" s="700"/>
      <c r="AN24" s="700"/>
      <c r="AO24" s="700"/>
      <c r="AP24" s="700"/>
      <c r="AQ24" s="700"/>
      <c r="AR24" s="700"/>
      <c r="AS24" s="700"/>
      <c r="AT24" s="700"/>
      <c r="AU24" s="700"/>
      <c r="AV24" s="700"/>
      <c r="AW24" s="700"/>
      <c r="AX24" s="700"/>
      <c r="AZ24" s="700"/>
      <c r="BA24" s="700"/>
      <c r="BB24" s="700"/>
      <c r="BC24" s="700"/>
      <c r="BD24" s="700"/>
    </row>
    <row r="25" spans="2:56" ht="21.75" customHeight="1">
      <c r="B25" s="699"/>
      <c r="C25" s="699" t="s">
        <v>410</v>
      </c>
      <c r="D25" s="692">
        <v>20</v>
      </c>
      <c r="E25" s="699" t="s">
        <v>330</v>
      </c>
      <c r="F25" s="699"/>
      <c r="I25" s="698"/>
      <c r="L25" s="697" t="s">
        <v>409</v>
      </c>
      <c r="N25" s="680" t="s">
        <v>408</v>
      </c>
      <c r="O25" s="695">
        <v>20</v>
      </c>
      <c r="P25" s="696"/>
      <c r="Q25" s="695"/>
      <c r="R25" s="695">
        <v>30</v>
      </c>
      <c r="S25" s="695"/>
      <c r="T25" s="695">
        <v>28</v>
      </c>
      <c r="U25" s="695">
        <f>O25*1000/($O$4+$O$5+$O$6+$O$7+$O$8+$O$9+$O$10+$O$11+$O$12+$O$13+$O$14+$O$15+$O$16+$O$18+$O$19+$O$20+$O$21+$O$24+$O$25)</f>
        <v>30.534351145038169</v>
      </c>
      <c r="V25" s="695"/>
      <c r="W25" s="695">
        <f>O25*1000/($O$4+$O$5+$O$6+$O$7+$O$8+$O$9+$O$10+$O$11+$O$12+$O$13+$O$14+$O$15+$O$16+$O$18+$O$19+$O$20+$O$21+$O$24+$O$25+$O$22+$O$23)</f>
        <v>28.776978417266186</v>
      </c>
      <c r="X25" s="695"/>
      <c r="Y25" s="684" t="s">
        <v>407</v>
      </c>
      <c r="AG25" s="679" t="s">
        <v>406</v>
      </c>
      <c r="AI25" s="694" t="s">
        <v>405</v>
      </c>
      <c r="AJ25" s="693"/>
    </row>
    <row r="26" spans="2:56" ht="21">
      <c r="D26" s="692"/>
      <c r="E26" s="691" t="s">
        <v>20</v>
      </c>
      <c r="F26" s="691"/>
      <c r="G26" s="688"/>
      <c r="H26" s="688"/>
      <c r="I26" s="690"/>
      <c r="J26" s="688"/>
      <c r="K26" s="688"/>
      <c r="L26" s="689"/>
      <c r="M26" s="688"/>
      <c r="N26" s="687"/>
      <c r="O26" s="685"/>
      <c r="P26" s="686"/>
      <c r="Q26" s="685">
        <f t="shared" ref="Q26:X26" si="4">SUM(Q4:Q25)</f>
        <v>1000</v>
      </c>
      <c r="R26" s="685">
        <f t="shared" si="4"/>
        <v>1000</v>
      </c>
      <c r="S26" s="685">
        <f t="shared" si="4"/>
        <v>1000</v>
      </c>
      <c r="T26" s="685">
        <f t="shared" si="4"/>
        <v>1000</v>
      </c>
      <c r="U26" s="685">
        <f t="shared" si="4"/>
        <v>1000.0000000000001</v>
      </c>
      <c r="V26" s="685">
        <f t="shared" si="4"/>
        <v>1000</v>
      </c>
      <c r="W26" s="685">
        <f t="shared" si="4"/>
        <v>999.99999999999977</v>
      </c>
      <c r="X26" s="685">
        <f t="shared" si="4"/>
        <v>1000</v>
      </c>
      <c r="Y26" s="684"/>
    </row>
    <row r="27" spans="2:56" ht="15" customHeight="1">
      <c r="F27" s="681"/>
      <c r="AG27" s="679" t="s">
        <v>404</v>
      </c>
      <c r="AI27" s="683" t="s">
        <v>403</v>
      </c>
      <c r="AJ27" s="682"/>
    </row>
    <row r="28" spans="2:56">
      <c r="F28" s="681"/>
    </row>
    <row r="29" spans="2:56">
      <c r="F29" s="681"/>
    </row>
    <row r="30" spans="2:56">
      <c r="F30" s="681"/>
    </row>
    <row r="31" spans="2:56">
      <c r="F31" s="680"/>
    </row>
    <row r="32" spans="2:56">
      <c r="F32" s="680"/>
    </row>
    <row r="33" spans="6:6">
      <c r="F33" s="680"/>
    </row>
    <row r="34" spans="6:6">
      <c r="F34" s="680"/>
    </row>
    <row r="35" spans="6:6">
      <c r="F35" s="680"/>
    </row>
    <row r="36" spans="6:6">
      <c r="F36" s="680"/>
    </row>
    <row r="37" spans="6:6">
      <c r="F37" s="680"/>
    </row>
    <row r="38" spans="6:6">
      <c r="F38" s="680"/>
    </row>
    <row r="39" spans="6:6">
      <c r="F39" s="680"/>
    </row>
    <row r="40" spans="6:6">
      <c r="F40" s="680"/>
    </row>
    <row r="41" spans="6:6">
      <c r="F41" s="680"/>
    </row>
  </sheetData>
  <pageMargins left="0.7" right="0.7" top="0.78740157499999996" bottom="0.78740157499999996" header="0.3" footer="0.3"/>
  <pictur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Tabelle15">
    <pageSetUpPr fitToPage="1"/>
  </sheetPr>
  <dimension ref="A1:H25"/>
  <sheetViews>
    <sheetView showGridLines="0" zoomScaleNormal="100" workbookViewId="0">
      <selection activeCell="B6" sqref="B6"/>
    </sheetView>
  </sheetViews>
  <sheetFormatPr baseColWidth="10" defaultColWidth="11.453125" defaultRowHeight="12.5"/>
  <cols>
    <col min="1" max="1" width="55.7265625" style="161" customWidth="1"/>
    <col min="2" max="2" width="15.7265625" style="218" customWidth="1"/>
    <col min="3" max="3" width="30.7265625" style="174" customWidth="1"/>
    <col min="4" max="4" width="2.7265625" style="161" customWidth="1"/>
    <col min="5" max="5" width="12.7265625" style="161" customWidth="1"/>
    <col min="6" max="6" width="25.1796875" style="161" customWidth="1"/>
    <col min="7" max="8" width="11.453125" style="161" customWidth="1"/>
    <col min="9" max="16384" width="11.453125" style="161"/>
  </cols>
  <sheetData>
    <row r="1" spans="1:8" ht="23.25" customHeight="1" thickBot="1">
      <c r="A1" s="1172" t="s">
        <v>122</v>
      </c>
      <c r="B1" s="1172"/>
      <c r="C1" s="170"/>
      <c r="F1" s="1418" t="s">
        <v>44</v>
      </c>
      <c r="G1" s="1419"/>
      <c r="H1" s="1420"/>
    </row>
    <row r="2" spans="1:8" ht="15" customHeight="1">
      <c r="A2" s="171"/>
      <c r="B2" s="171"/>
    </row>
    <row r="3" spans="1:8" ht="23.25" customHeight="1" thickBot="1">
      <c r="A3" s="210" t="s">
        <v>103</v>
      </c>
      <c r="B3" s="203"/>
    </row>
    <row r="4" spans="1:8" s="140" customFormat="1" ht="25" customHeight="1">
      <c r="A4" s="216" t="s">
        <v>19</v>
      </c>
      <c r="B4" s="265" t="s">
        <v>4</v>
      </c>
      <c r="C4" s="281" t="s">
        <v>50</v>
      </c>
      <c r="F4" s="393"/>
      <c r="G4" s="394" t="s">
        <v>147</v>
      </c>
      <c r="H4" s="395" t="s">
        <v>4</v>
      </c>
    </row>
    <row r="5" spans="1:8" s="140" customFormat="1" ht="23.25" customHeight="1">
      <c r="A5" s="266" t="s">
        <v>123</v>
      </c>
      <c r="B5" s="282"/>
      <c r="C5" s="435"/>
      <c r="F5" s="396" t="s">
        <v>187</v>
      </c>
      <c r="G5" s="397">
        <v>750</v>
      </c>
      <c r="H5" s="398">
        <v>0</v>
      </c>
    </row>
    <row r="6" spans="1:8" s="140" customFormat="1" ht="23.25" customHeight="1" thickBot="1">
      <c r="A6" s="267" t="s">
        <v>38</v>
      </c>
      <c r="B6" s="272">
        <f>IF(B5="",0,IF(B5&lt;=G6,H6,IF(B5&gt;G5,0,H6+(H5-H6)/(G5-G6)*(B5-G6))))</f>
        <v>0</v>
      </c>
      <c r="C6" s="291"/>
      <c r="F6" s="396" t="s">
        <v>188</v>
      </c>
      <c r="G6" s="397">
        <v>150</v>
      </c>
      <c r="H6" s="398">
        <v>155</v>
      </c>
    </row>
    <row r="7" spans="1:8" s="140" customFormat="1" ht="15" customHeight="1">
      <c r="A7" s="130"/>
      <c r="B7" s="218"/>
      <c r="C7" s="170"/>
    </row>
    <row r="8" spans="1:8" ht="15" customHeight="1"/>
    <row r="9" spans="1:8" ht="23.25" customHeight="1" thickBot="1">
      <c r="A9" s="440" t="s">
        <v>203</v>
      </c>
      <c r="B9" s="285"/>
      <c r="C9" s="243"/>
    </row>
    <row r="10" spans="1:8" ht="25" customHeight="1">
      <c r="A10" s="216" t="s">
        <v>19</v>
      </c>
      <c r="B10" s="265" t="s">
        <v>4</v>
      </c>
      <c r="C10" s="281" t="s">
        <v>50</v>
      </c>
      <c r="F10" s="393"/>
      <c r="G10" s="394" t="s">
        <v>147</v>
      </c>
      <c r="H10" s="395" t="s">
        <v>4</v>
      </c>
    </row>
    <row r="11" spans="1:8" ht="23.25" customHeight="1">
      <c r="A11" s="268" t="s">
        <v>123</v>
      </c>
      <c r="B11" s="292"/>
      <c r="C11" s="434"/>
      <c r="F11" s="396" t="s">
        <v>187</v>
      </c>
      <c r="G11" s="397">
        <v>750</v>
      </c>
      <c r="H11" s="398">
        <v>0</v>
      </c>
    </row>
    <row r="12" spans="1:8" ht="23.25" customHeight="1" thickBot="1">
      <c r="A12" s="269" t="s">
        <v>20</v>
      </c>
      <c r="B12" s="272">
        <f>IF(B11="",0,IF(B11&lt;=G12,H12,IF(B11&gt;G11,0,H12+(H11-H12)/(G11-G12)*(B11-G12))))</f>
        <v>0</v>
      </c>
      <c r="C12" s="286"/>
      <c r="F12" s="396" t="s">
        <v>188</v>
      </c>
      <c r="G12" s="397">
        <v>150</v>
      </c>
      <c r="H12" s="398">
        <v>175</v>
      </c>
    </row>
    <row r="13" spans="1:8" ht="15" customHeight="1">
      <c r="A13" s="264"/>
      <c r="B13" s="284"/>
      <c r="C13" s="161"/>
    </row>
    <row r="14" spans="1:8" ht="23.25" customHeight="1">
      <c r="A14" s="160"/>
      <c r="C14" s="161"/>
    </row>
    <row r="15" spans="1:8" ht="23.25" customHeight="1" thickBot="1">
      <c r="A15" s="440" t="s">
        <v>204</v>
      </c>
      <c r="B15" s="285"/>
      <c r="C15" s="289"/>
    </row>
    <row r="16" spans="1:8" ht="25" customHeight="1">
      <c r="A16" s="216" t="s">
        <v>19</v>
      </c>
      <c r="B16" s="265" t="s">
        <v>4</v>
      </c>
      <c r="C16" s="281" t="s">
        <v>50</v>
      </c>
      <c r="F16" s="393"/>
      <c r="G16" s="394" t="s">
        <v>147</v>
      </c>
      <c r="H16" s="395" t="s">
        <v>4</v>
      </c>
    </row>
    <row r="17" spans="1:8" ht="23.25" customHeight="1">
      <c r="A17" s="266" t="s">
        <v>123</v>
      </c>
      <c r="B17" s="282"/>
      <c r="C17" s="434"/>
      <c r="F17" s="396" t="s">
        <v>187</v>
      </c>
      <c r="G17" s="397">
        <v>750</v>
      </c>
      <c r="H17" s="398">
        <v>0</v>
      </c>
    </row>
    <row r="18" spans="1:8" ht="23.25" customHeight="1" thickBot="1">
      <c r="A18" s="270" t="s">
        <v>20</v>
      </c>
      <c r="B18" s="272">
        <f>IF(B17="",0,IF(B17&lt;=G18,H18,IF(B17&gt;G17,0,H18+(H17-H18)/(G17-G18)*(B17-G18))))</f>
        <v>0</v>
      </c>
      <c r="C18" s="290"/>
      <c r="F18" s="396" t="s">
        <v>188</v>
      </c>
      <c r="G18" s="397">
        <v>150</v>
      </c>
      <c r="H18" s="398">
        <v>220</v>
      </c>
    </row>
    <row r="19" spans="1:8" ht="23.25" customHeight="1">
      <c r="A19" s="130"/>
    </row>
    <row r="20" spans="1:8" ht="23.25" customHeight="1"/>
    <row r="21" spans="1:8" ht="23.25" customHeight="1" thickBot="1">
      <c r="A21" s="210" t="s">
        <v>105</v>
      </c>
      <c r="B21" s="285"/>
    </row>
    <row r="22" spans="1:8" ht="25" customHeight="1">
      <c r="A22" s="265" t="s">
        <v>19</v>
      </c>
      <c r="B22" s="271" t="s">
        <v>4</v>
      </c>
      <c r="C22" s="293" t="s">
        <v>50</v>
      </c>
      <c r="F22" s="393"/>
      <c r="G22" s="394" t="s">
        <v>147</v>
      </c>
      <c r="H22" s="395" t="s">
        <v>4</v>
      </c>
    </row>
    <row r="23" spans="1:8" ht="23.25" customHeight="1">
      <c r="A23" s="268" t="s">
        <v>123</v>
      </c>
      <c r="B23" s="292"/>
      <c r="C23" s="435"/>
      <c r="D23" s="202"/>
      <c r="F23" s="396" t="s">
        <v>187</v>
      </c>
      <c r="G23" s="397">
        <v>750</v>
      </c>
      <c r="H23" s="398">
        <v>0</v>
      </c>
    </row>
    <row r="24" spans="1:8" ht="23.25" customHeight="1" thickBot="1">
      <c r="A24" s="269" t="s">
        <v>20</v>
      </c>
      <c r="B24" s="272">
        <f>IF(B23="",0,IF(B23&lt;=G24,H24,IF(B23&gt;G23,0,H24+(H23-H24)/(G23-G24)*(B23-G24))))</f>
        <v>0</v>
      </c>
      <c r="C24" s="290"/>
      <c r="F24" s="396" t="s">
        <v>188</v>
      </c>
      <c r="G24" s="397">
        <v>150</v>
      </c>
      <c r="H24" s="398">
        <v>240</v>
      </c>
    </row>
    <row r="25" spans="1:8">
      <c r="A25" s="130"/>
      <c r="B25" s="284"/>
    </row>
  </sheetData>
  <mergeCells count="2">
    <mergeCell ref="A1:B1"/>
    <mergeCell ref="F1:H1"/>
  </mergeCells>
  <phoneticPr fontId="45" type="noConversion"/>
  <printOptions horizontalCentered="1"/>
  <pageMargins left="0.59055118110236227" right="0.59055118110236227" top="0.59055118110236227" bottom="0.59055118110236227" header="0.31496062992125984" footer="0.31496062992125984"/>
  <pageSetup paperSize="9" scale="88"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Tabelle16">
    <pageSetUpPr fitToPage="1"/>
  </sheetPr>
  <dimension ref="A1:H25"/>
  <sheetViews>
    <sheetView showGridLines="0" zoomScaleNormal="100" workbookViewId="0">
      <selection activeCell="K20" sqref="K20"/>
    </sheetView>
  </sheetViews>
  <sheetFormatPr baseColWidth="10" defaultColWidth="11.453125" defaultRowHeight="12.5"/>
  <cols>
    <col min="1" max="1" width="55.7265625" style="150" customWidth="1"/>
    <col min="2" max="2" width="15.7265625" style="218" customWidth="1"/>
    <col min="3" max="3" width="30.7265625" style="174" customWidth="1"/>
    <col min="4" max="4" width="2.7265625" style="161" customWidth="1"/>
    <col min="5" max="5" width="11.453125" style="161"/>
    <col min="6" max="6" width="20.81640625" style="161" customWidth="1"/>
    <col min="7" max="8" width="11.453125" style="161" customWidth="1"/>
    <col min="9" max="16384" width="11.453125" style="161"/>
  </cols>
  <sheetData>
    <row r="1" spans="1:8" ht="23.25" customHeight="1" thickBot="1">
      <c r="A1" s="1172" t="s">
        <v>115</v>
      </c>
      <c r="B1" s="1172"/>
      <c r="C1" s="170"/>
      <c r="F1" s="1418" t="s">
        <v>44</v>
      </c>
      <c r="G1" s="1419"/>
      <c r="H1" s="1420"/>
    </row>
    <row r="2" spans="1:8" ht="15" customHeight="1">
      <c r="A2" s="165"/>
      <c r="B2" s="171"/>
    </row>
    <row r="3" spans="1:8" ht="23.25" customHeight="1" thickBot="1">
      <c r="A3" s="210" t="s">
        <v>103</v>
      </c>
      <c r="B3" s="203"/>
    </row>
    <row r="4" spans="1:8" s="140" customFormat="1" ht="25" customHeight="1">
      <c r="A4" s="274" t="s">
        <v>19</v>
      </c>
      <c r="B4" s="265" t="s">
        <v>4</v>
      </c>
      <c r="C4" s="281" t="s">
        <v>50</v>
      </c>
      <c r="D4" s="204"/>
      <c r="F4" s="393"/>
      <c r="G4" s="394" t="s">
        <v>147</v>
      </c>
      <c r="H4" s="395" t="s">
        <v>4</v>
      </c>
    </row>
    <row r="5" spans="1:8" s="140" customFormat="1" ht="23.25" customHeight="1">
      <c r="A5" s="275" t="s">
        <v>100</v>
      </c>
      <c r="B5" s="282"/>
      <c r="C5" s="435"/>
      <c r="F5" s="396" t="s">
        <v>189</v>
      </c>
      <c r="G5" s="397">
        <v>20</v>
      </c>
      <c r="H5" s="398">
        <v>0</v>
      </c>
    </row>
    <row r="6" spans="1:8" s="135" customFormat="1" ht="23.25" customHeight="1" thickBot="1">
      <c r="A6" s="276" t="s">
        <v>38</v>
      </c>
      <c r="B6" s="272">
        <f>IF(B5="",0,IF(B5&lt;=G6,H6,IF(B5&gt;G5,0,H5+(H6/(G6-G5)*(B5-G5)))))</f>
        <v>0</v>
      </c>
      <c r="F6" s="396" t="s">
        <v>190</v>
      </c>
      <c r="G6" s="397">
        <v>8</v>
      </c>
      <c r="H6" s="398">
        <v>55</v>
      </c>
    </row>
    <row r="7" spans="1:8" ht="15" customHeight="1">
      <c r="A7" s="283"/>
      <c r="B7" s="284"/>
      <c r="F7" s="140"/>
      <c r="G7" s="140"/>
      <c r="H7" s="140"/>
    </row>
    <row r="8" spans="1:8" ht="15" customHeight="1"/>
    <row r="9" spans="1:8" ht="23.25" customHeight="1" thickBot="1">
      <c r="A9" s="440" t="s">
        <v>203</v>
      </c>
      <c r="B9" s="285"/>
      <c r="C9" s="243"/>
    </row>
    <row r="10" spans="1:8" ht="25" customHeight="1">
      <c r="A10" s="277" t="s">
        <v>19</v>
      </c>
      <c r="B10" s="273" t="s">
        <v>4</v>
      </c>
      <c r="C10" s="281" t="s">
        <v>50</v>
      </c>
      <c r="D10" s="202"/>
      <c r="F10" s="393"/>
      <c r="G10" s="394" t="s">
        <v>147</v>
      </c>
      <c r="H10" s="395" t="s">
        <v>4</v>
      </c>
    </row>
    <row r="11" spans="1:8" ht="23.25" customHeight="1">
      <c r="A11" s="278" t="s">
        <v>100</v>
      </c>
      <c r="B11" s="282"/>
      <c r="C11" s="434"/>
      <c r="F11" s="396" t="s">
        <v>189</v>
      </c>
      <c r="G11" s="397">
        <v>20</v>
      </c>
      <c r="H11" s="398">
        <v>0</v>
      </c>
    </row>
    <row r="12" spans="1:8" ht="23.25" customHeight="1" thickBot="1">
      <c r="A12" s="279" t="s">
        <v>20</v>
      </c>
      <c r="B12" s="272">
        <f>IF(B11="",0,IF(B11&lt;=G12,H12,IF(B11&gt;G11,0,H11+(H12/(G12-G11)*(B11-G11)))))</f>
        <v>0</v>
      </c>
      <c r="C12" s="286"/>
      <c r="F12" s="396" t="s">
        <v>190</v>
      </c>
      <c r="G12" s="397">
        <v>8</v>
      </c>
      <c r="H12" s="398">
        <v>75</v>
      </c>
    </row>
    <row r="13" spans="1:8" ht="15" customHeight="1">
      <c r="A13" s="287"/>
      <c r="C13" s="161"/>
    </row>
    <row r="14" spans="1:8" ht="23.25" customHeight="1">
      <c r="A14" s="288"/>
      <c r="C14" s="161"/>
    </row>
    <row r="15" spans="1:8" ht="23.25" customHeight="1" thickBot="1">
      <c r="A15" s="440" t="s">
        <v>204</v>
      </c>
      <c r="B15" s="285"/>
      <c r="C15" s="289"/>
    </row>
    <row r="16" spans="1:8" ht="25" customHeight="1">
      <c r="A16" s="277" t="s">
        <v>19</v>
      </c>
      <c r="B16" s="273" t="s">
        <v>4</v>
      </c>
      <c r="C16" s="281" t="s">
        <v>50</v>
      </c>
      <c r="D16" s="202"/>
      <c r="F16" s="393"/>
      <c r="G16" s="394" t="s">
        <v>147</v>
      </c>
      <c r="H16" s="395" t="s">
        <v>4</v>
      </c>
    </row>
    <row r="17" spans="1:8" ht="23.25" customHeight="1">
      <c r="A17" s="278" t="s">
        <v>100</v>
      </c>
      <c r="B17" s="282"/>
      <c r="C17" s="434"/>
      <c r="F17" s="396" t="s">
        <v>189</v>
      </c>
      <c r="G17" s="397">
        <v>20</v>
      </c>
      <c r="H17" s="398">
        <v>0</v>
      </c>
    </row>
    <row r="18" spans="1:8" ht="23.25" customHeight="1" thickBot="1">
      <c r="A18" s="279" t="s">
        <v>20</v>
      </c>
      <c r="B18" s="272">
        <f>IF(B17="",0,IF(B17&lt;=G18,H18,IF(B17&gt;G17,0,H17+(H18/(G18-G17)*(B17-G17)))))</f>
        <v>0</v>
      </c>
      <c r="C18" s="290"/>
      <c r="F18" s="396" t="s">
        <v>190</v>
      </c>
      <c r="G18" s="397">
        <v>8</v>
      </c>
      <c r="H18" s="398">
        <v>130</v>
      </c>
    </row>
    <row r="19" spans="1:8" ht="23.25" customHeight="1">
      <c r="A19" s="283"/>
    </row>
    <row r="20" spans="1:8" ht="23.25" customHeight="1"/>
    <row r="21" spans="1:8" ht="23.25" customHeight="1" thickBot="1">
      <c r="A21" s="210" t="s">
        <v>105</v>
      </c>
      <c r="B21" s="285"/>
      <c r="C21" s="289"/>
    </row>
    <row r="22" spans="1:8" ht="25" customHeight="1">
      <c r="A22" s="277" t="s">
        <v>19</v>
      </c>
      <c r="B22" s="265" t="s">
        <v>4</v>
      </c>
      <c r="C22" s="281" t="s">
        <v>50</v>
      </c>
      <c r="D22" s="202"/>
      <c r="F22" s="393"/>
      <c r="G22" s="394" t="s">
        <v>147</v>
      </c>
      <c r="H22" s="395" t="s">
        <v>4</v>
      </c>
    </row>
    <row r="23" spans="1:8" ht="23.25" customHeight="1">
      <c r="A23" s="278" t="s">
        <v>100</v>
      </c>
      <c r="B23" s="282"/>
      <c r="C23" s="435"/>
      <c r="D23" s="202"/>
      <c r="F23" s="396" t="s">
        <v>189</v>
      </c>
      <c r="G23" s="397">
        <v>20</v>
      </c>
      <c r="H23" s="398">
        <v>0</v>
      </c>
    </row>
    <row r="24" spans="1:8" ht="23.25" customHeight="1" thickBot="1">
      <c r="A24" s="280" t="s">
        <v>20</v>
      </c>
      <c r="B24" s="272">
        <f>IF(B23="",0,IF(B23&lt;=G24,H24,IF(B23&gt;G23,0,H23+(H24/(G24-G23)*(B23-G23)))))</f>
        <v>0</v>
      </c>
      <c r="C24" s="290"/>
      <c r="F24" s="396" t="s">
        <v>190</v>
      </c>
      <c r="G24" s="397">
        <v>8</v>
      </c>
      <c r="H24" s="398">
        <v>120</v>
      </c>
    </row>
    <row r="25" spans="1:8">
      <c r="A25" s="283"/>
    </row>
  </sheetData>
  <sheetProtection selectLockedCells="1"/>
  <mergeCells count="2">
    <mergeCell ref="A1:B1"/>
    <mergeCell ref="F1:H1"/>
  </mergeCells>
  <printOptions horizontalCentered="1"/>
  <pageMargins left="0.59055118110236227" right="0.59055118110236227" top="0.59055118110236227" bottom="0.59055118110236227" header="0.31496062992125984" footer="0.31496062992125984"/>
  <pageSetup paperSize="9" scale="88"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outlinePr summaryRight="0"/>
    <pageSetUpPr fitToPage="1"/>
  </sheetPr>
  <dimension ref="A1:AZ44"/>
  <sheetViews>
    <sheetView showGridLines="0" showRuler="0" showWhiteSpace="0" topLeftCell="A3" zoomScale="80" zoomScaleNormal="80" zoomScaleSheetLayoutView="100" workbookViewId="0">
      <selection activeCell="Z42" sqref="Z42"/>
    </sheetView>
  </sheetViews>
  <sheetFormatPr baseColWidth="10" defaultColWidth="11.453125" defaultRowHeight="12.5" outlineLevelCol="1"/>
  <cols>
    <col min="1" max="2" width="1.7265625" style="16" customWidth="1"/>
    <col min="3" max="3" width="23.453125" style="23" customWidth="1"/>
    <col min="4" max="4" width="9.08984375" style="24" customWidth="1"/>
    <col min="5" max="5" width="4" style="27" customWidth="1"/>
    <col min="6" max="6" width="63.81640625" style="25" bestFit="1" customWidth="1"/>
    <col min="7" max="7" width="16.81640625" style="23" customWidth="1"/>
    <col min="8" max="8" width="14.54296875" style="57" customWidth="1"/>
    <col min="9" max="9" width="9.26953125" style="25" hidden="1" customWidth="1"/>
    <col min="10" max="10" width="2.81640625" style="25" customWidth="1"/>
    <col min="11" max="11" width="23.26953125" style="25" customWidth="1"/>
    <col min="12" max="12" width="15.54296875" style="25" customWidth="1"/>
    <col min="13" max="13" width="2.81640625" style="25" customWidth="1"/>
    <col min="14" max="15" width="15.7265625" style="25" customWidth="1"/>
    <col min="16" max="16" width="2.81640625" style="25" customWidth="1"/>
    <col min="17" max="18" width="15.7265625" style="25" customWidth="1"/>
    <col min="19" max="19" width="2.81640625" style="25" customWidth="1"/>
    <col min="20" max="21" width="15.7265625" style="25" customWidth="1"/>
    <col min="22" max="23" width="2.81640625" style="25" customWidth="1"/>
    <col min="24" max="24" width="3.7265625" style="25" customWidth="1" outlineLevel="1"/>
    <col min="25" max="25" width="11.26953125" style="25" customWidth="1" outlineLevel="1"/>
    <col min="26" max="26" width="46.54296875" style="16" customWidth="1" outlineLevel="1"/>
    <col min="27" max="27" width="3.7265625" style="16" customWidth="1" outlineLevel="1"/>
    <col min="28" max="28" width="3.7265625" style="25" customWidth="1" collapsed="1"/>
    <col min="29" max="29" width="3.7265625" style="25" hidden="1" customWidth="1" outlineLevel="1"/>
    <col min="30" max="30" width="11.26953125" style="25" hidden="1" customWidth="1" outlineLevel="1"/>
    <col min="31" max="31" width="46.54296875" style="16" hidden="1" customWidth="1" outlineLevel="1"/>
    <col min="32" max="32" width="3.7265625" style="16" hidden="1" customWidth="1" outlineLevel="1"/>
    <col min="33" max="33" width="3.7265625" style="25" customWidth="1" collapsed="1"/>
    <col min="34" max="34" width="3.7265625" style="25" hidden="1" customWidth="1" outlineLevel="1"/>
    <col min="35" max="35" width="11.26953125" style="25" hidden="1" customWidth="1" outlineLevel="1"/>
    <col min="36" max="36" width="46.54296875" style="16" hidden="1" customWidth="1" outlineLevel="1"/>
    <col min="37" max="37" width="3.7265625" style="16" hidden="1" customWidth="1" outlineLevel="1"/>
    <col min="38" max="38" width="3.7265625" style="16" customWidth="1" collapsed="1"/>
    <col min="39" max="39" width="3.7265625" style="25" hidden="1" customWidth="1" outlineLevel="1"/>
    <col min="40" max="40" width="11.26953125" style="25" hidden="1" customWidth="1" outlineLevel="1"/>
    <col min="41" max="41" width="46.54296875" style="16" hidden="1" customWidth="1" outlineLevel="1"/>
    <col min="42" max="42" width="3.7265625" style="16" hidden="1" customWidth="1" outlineLevel="1"/>
    <col min="43" max="43" width="3.7265625" style="16" customWidth="1" collapsed="1"/>
    <col min="44" max="44" width="3.7265625" style="25" hidden="1" customWidth="1" outlineLevel="1"/>
    <col min="45" max="45" width="11.26953125" style="25" hidden="1" customWidth="1" outlineLevel="1"/>
    <col min="46" max="46" width="46.54296875" style="16" hidden="1" customWidth="1" outlineLevel="1"/>
    <col min="47" max="47" width="3.7265625" style="16" hidden="1" customWidth="1" outlineLevel="1"/>
    <col min="48" max="48" width="3.7265625" style="16" customWidth="1" collapsed="1"/>
    <col min="49" max="49" width="3.7265625" style="25" hidden="1" customWidth="1" outlineLevel="1"/>
    <col min="50" max="50" width="11.26953125" style="25" hidden="1" customWidth="1" outlineLevel="1"/>
    <col min="51" max="51" width="46.54296875" style="16" hidden="1" customWidth="1" outlineLevel="1"/>
    <col min="52" max="52" width="3.7265625" style="16" hidden="1" customWidth="1" outlineLevel="1"/>
    <col min="53" max="53" width="3.7265625" style="16" customWidth="1"/>
    <col min="54" max="16384" width="11.453125" style="16"/>
  </cols>
  <sheetData>
    <row r="1" spans="1:51" ht="82.5" customHeight="1" thickBot="1">
      <c r="A1" s="17"/>
      <c r="B1" s="17"/>
      <c r="C1" s="1232" t="s">
        <v>601</v>
      </c>
      <c r="D1" s="1232"/>
      <c r="E1" s="1232"/>
      <c r="F1" s="1232"/>
      <c r="G1" s="1232"/>
      <c r="H1" s="1232"/>
      <c r="I1" s="60"/>
      <c r="J1" s="60"/>
      <c r="K1" s="60"/>
      <c r="L1" s="60"/>
      <c r="M1" s="60"/>
      <c r="N1" s="60"/>
      <c r="O1" s="60"/>
      <c r="P1" s="60"/>
      <c r="Q1" s="60"/>
      <c r="R1" s="60"/>
      <c r="S1" s="60"/>
      <c r="T1" s="60"/>
      <c r="U1" s="60"/>
      <c r="V1" s="60"/>
      <c r="W1" s="26">
        <f>$Z$9</f>
        <v>0</v>
      </c>
      <c r="AB1" s="26">
        <f>AE9</f>
        <v>0</v>
      </c>
      <c r="AG1" s="26">
        <f>AJ9</f>
        <v>0</v>
      </c>
      <c r="AL1" s="26">
        <f>AO9</f>
        <v>0</v>
      </c>
      <c r="AQ1" s="26">
        <f>AT9</f>
        <v>0</v>
      </c>
      <c r="AV1" s="26">
        <f>AY9</f>
        <v>0</v>
      </c>
    </row>
    <row r="2" spans="1:51" ht="38.25" customHeight="1" thickBot="1">
      <c r="A2" s="17"/>
      <c r="B2" s="17"/>
      <c r="C2" s="61" t="s">
        <v>39</v>
      </c>
      <c r="D2" s="1276"/>
      <c r="E2" s="1277"/>
      <c r="F2" s="1277"/>
      <c r="G2" s="1277"/>
      <c r="H2" s="1278"/>
      <c r="I2" s="60"/>
      <c r="J2" s="60"/>
      <c r="K2" s="60"/>
      <c r="L2" s="60"/>
      <c r="M2" s="60"/>
      <c r="N2" s="60"/>
      <c r="O2" s="60"/>
      <c r="P2" s="60"/>
      <c r="Q2" s="60"/>
      <c r="R2" s="60"/>
      <c r="S2" s="60"/>
      <c r="T2" s="60"/>
      <c r="U2" s="60"/>
      <c r="V2" s="60"/>
      <c r="W2" s="1282" t="s">
        <v>53</v>
      </c>
      <c r="AB2" s="1282" t="s">
        <v>54</v>
      </c>
      <c r="AG2" s="1282" t="s">
        <v>55</v>
      </c>
      <c r="AL2" s="1282" t="s">
        <v>56</v>
      </c>
      <c r="AQ2" s="1282" t="s">
        <v>57</v>
      </c>
      <c r="AV2" s="1282" t="s">
        <v>58</v>
      </c>
    </row>
    <row r="3" spans="1:51" ht="49.5" customHeight="1">
      <c r="A3" s="17"/>
      <c r="B3" s="17"/>
      <c r="C3" s="92" t="s">
        <v>98</v>
      </c>
      <c r="D3" s="80"/>
      <c r="E3" s="80"/>
      <c r="F3" s="80"/>
      <c r="G3" s="80"/>
      <c r="H3" s="80"/>
      <c r="I3" s="60"/>
      <c r="J3" s="60"/>
      <c r="K3" s="60"/>
      <c r="L3" s="60"/>
      <c r="M3" s="60"/>
      <c r="N3" s="60"/>
      <c r="O3" s="60"/>
      <c r="P3" s="60"/>
      <c r="Q3" s="60"/>
      <c r="R3" s="60"/>
      <c r="S3" s="60"/>
      <c r="T3" s="60"/>
      <c r="U3" s="60"/>
      <c r="V3" s="60"/>
      <c r="W3" s="1282"/>
      <c r="AB3" s="1282"/>
      <c r="AG3" s="1282"/>
      <c r="AL3" s="1282"/>
      <c r="AQ3" s="1282"/>
      <c r="AV3" s="1282"/>
    </row>
    <row r="4" spans="1:51" ht="30" customHeight="1" thickBot="1">
      <c r="A4" s="17"/>
      <c r="B4" s="17"/>
      <c r="C4" s="92"/>
      <c r="D4" s="180"/>
      <c r="E4" s="80"/>
      <c r="F4" s="123" t="s">
        <v>50</v>
      </c>
      <c r="G4" s="190"/>
      <c r="H4" s="80"/>
      <c r="I4" s="60"/>
      <c r="J4" s="60"/>
      <c r="K4" s="60"/>
      <c r="L4" s="60"/>
      <c r="M4" s="60"/>
      <c r="N4" s="60"/>
      <c r="O4" s="60"/>
      <c r="P4" s="60"/>
      <c r="Q4" s="60"/>
      <c r="R4" s="60"/>
      <c r="S4" s="60"/>
      <c r="T4" s="60"/>
      <c r="U4" s="60"/>
      <c r="V4" s="60"/>
      <c r="W4" s="1282"/>
      <c r="AB4" s="1282"/>
      <c r="AG4" s="1282"/>
      <c r="AL4" s="1282"/>
      <c r="AQ4" s="1282"/>
      <c r="AV4" s="1282"/>
    </row>
    <row r="5" spans="1:51" ht="30" customHeight="1">
      <c r="A5" s="17"/>
      <c r="B5" s="17"/>
      <c r="C5" s="187" t="s">
        <v>101</v>
      </c>
      <c r="D5" s="233">
        <v>1</v>
      </c>
      <c r="E5" s="215" t="s">
        <v>96</v>
      </c>
      <c r="F5" s="184"/>
      <c r="G5" s="191"/>
      <c r="H5" s="192" t="s">
        <v>43</v>
      </c>
      <c r="I5" s="60"/>
      <c r="J5" s="60"/>
      <c r="K5" s="60"/>
      <c r="L5" s="60"/>
      <c r="M5" s="60"/>
      <c r="N5" s="60"/>
      <c r="O5" s="60"/>
      <c r="P5" s="60"/>
      <c r="Q5" s="60"/>
      <c r="R5" s="60"/>
      <c r="S5" s="60"/>
      <c r="T5" s="60"/>
      <c r="U5" s="60"/>
      <c r="V5" s="60"/>
      <c r="W5" s="1282"/>
      <c r="AB5" s="1282"/>
      <c r="AG5" s="1282"/>
      <c r="AL5" s="1282"/>
      <c r="AQ5" s="1282"/>
      <c r="AV5" s="1282"/>
    </row>
    <row r="6" spans="1:51" ht="30" customHeight="1">
      <c r="A6" s="17"/>
      <c r="B6" s="186"/>
      <c r="C6" s="188" t="s">
        <v>193</v>
      </c>
      <c r="D6" s="232">
        <v>1</v>
      </c>
      <c r="E6" s="182" t="s">
        <v>96</v>
      </c>
      <c r="F6" s="177"/>
      <c r="G6" s="195"/>
      <c r="H6" s="194" t="s">
        <v>44</v>
      </c>
      <c r="I6" s="60"/>
      <c r="J6" s="193"/>
      <c r="K6" s="60"/>
      <c r="L6" s="60"/>
      <c r="M6" s="60"/>
      <c r="N6" s="60"/>
      <c r="O6" s="60"/>
      <c r="P6" s="60"/>
      <c r="Q6" s="60"/>
      <c r="R6" s="60"/>
      <c r="S6" s="60"/>
      <c r="T6" s="60"/>
      <c r="U6" s="60"/>
      <c r="V6" s="60"/>
      <c r="W6" s="1282"/>
      <c r="AB6" s="1282"/>
      <c r="AG6" s="1282"/>
      <c r="AL6" s="1282"/>
      <c r="AQ6" s="1282"/>
      <c r="AV6" s="1282"/>
    </row>
    <row r="7" spans="1:51" ht="30" customHeight="1">
      <c r="A7" s="17"/>
      <c r="B7" s="186"/>
      <c r="C7" s="188" t="s">
        <v>194</v>
      </c>
      <c r="D7" s="231">
        <v>1</v>
      </c>
      <c r="E7" s="183" t="s">
        <v>96</v>
      </c>
      <c r="F7" s="184"/>
      <c r="G7" s="80"/>
      <c r="H7" s="80"/>
      <c r="I7" s="60"/>
      <c r="J7" s="60"/>
      <c r="K7" s="60"/>
      <c r="L7" s="60"/>
      <c r="M7" s="60"/>
      <c r="N7" s="60"/>
      <c r="O7" s="60"/>
      <c r="P7" s="60"/>
      <c r="Q7" s="60"/>
      <c r="R7" s="60"/>
      <c r="S7" s="60"/>
      <c r="T7" s="60"/>
      <c r="U7" s="60"/>
      <c r="V7" s="60"/>
      <c r="W7" s="1282"/>
      <c r="AB7" s="1282"/>
      <c r="AG7" s="1282"/>
      <c r="AL7" s="1282"/>
      <c r="AQ7" s="1282"/>
      <c r="AV7" s="1282"/>
    </row>
    <row r="8" spans="1:51" ht="30" customHeight="1" thickBot="1">
      <c r="A8" s="17"/>
      <c r="B8" s="17"/>
      <c r="C8" s="188" t="s">
        <v>121</v>
      </c>
      <c r="D8" s="230">
        <v>1</v>
      </c>
      <c r="E8" s="183" t="s">
        <v>96</v>
      </c>
      <c r="F8" s="184"/>
      <c r="G8" s="1280" t="s">
        <v>6</v>
      </c>
      <c r="H8" s="1281"/>
      <c r="I8" s="60"/>
      <c r="J8" s="60"/>
      <c r="K8" s="60"/>
      <c r="L8" s="60"/>
      <c r="M8" s="60"/>
      <c r="N8" s="60"/>
      <c r="O8" s="60"/>
      <c r="P8" s="60"/>
      <c r="Q8" s="60"/>
      <c r="R8" s="60"/>
      <c r="S8" s="60"/>
      <c r="T8" s="60"/>
      <c r="U8" s="60"/>
      <c r="V8" s="60"/>
      <c r="W8" s="1283"/>
      <c r="AB8" s="1285"/>
      <c r="AG8" s="1285"/>
      <c r="AL8" s="1284"/>
      <c r="AQ8" s="1284"/>
      <c r="AV8" s="1284"/>
    </row>
    <row r="9" spans="1:51" ht="30" customHeight="1" thickBot="1">
      <c r="A9" s="17"/>
      <c r="B9" s="17"/>
      <c r="C9" s="189" t="s">
        <v>20</v>
      </c>
      <c r="D9" s="229">
        <f>SUM(D5:D8)</f>
        <v>4</v>
      </c>
      <c r="E9" s="214" t="s">
        <v>96</v>
      </c>
      <c r="F9" s="181"/>
      <c r="G9" s="1274">
        <f>IF((H13+H22+H29+H35)&lt;1000,(H13+H22+H29+H35),1000)</f>
        <v>0</v>
      </c>
      <c r="H9" s="1275">
        <f>IF(SUM(H11:H16)&lt;225,SUM(H11:H16),225)</f>
        <v>0</v>
      </c>
      <c r="I9" s="60"/>
      <c r="J9" s="60"/>
      <c r="K9" s="1236" t="s">
        <v>60</v>
      </c>
      <c r="L9" s="1237"/>
      <c r="M9" s="1237"/>
      <c r="N9" s="1237"/>
      <c r="O9" s="1237"/>
      <c r="P9" s="1237"/>
      <c r="Q9" s="1237"/>
      <c r="R9" s="1237"/>
      <c r="S9" s="1237"/>
      <c r="T9" s="1237"/>
      <c r="U9" s="1238"/>
      <c r="V9" s="60"/>
      <c r="W9" s="60"/>
      <c r="Y9" s="28" t="s">
        <v>52</v>
      </c>
      <c r="Z9" s="29"/>
      <c r="AA9" s="30"/>
      <c r="AD9" s="28" t="s">
        <v>52</v>
      </c>
      <c r="AE9" s="29"/>
      <c r="AF9" s="30"/>
      <c r="AI9" s="28" t="s">
        <v>52</v>
      </c>
      <c r="AJ9" s="29"/>
      <c r="AK9" s="30"/>
      <c r="AN9" s="28" t="s">
        <v>52</v>
      </c>
      <c r="AO9" s="29"/>
      <c r="AP9" s="30"/>
      <c r="AS9" s="28" t="s">
        <v>52</v>
      </c>
      <c r="AT9" s="29"/>
      <c r="AU9" s="30"/>
      <c r="AX9" s="28" t="s">
        <v>52</v>
      </c>
      <c r="AY9" s="29"/>
    </row>
    <row r="10" spans="1:51" s="90" customFormat="1" ht="30" customHeight="1">
      <c r="A10" s="83"/>
      <c r="B10" s="83"/>
      <c r="C10" s="213"/>
      <c r="D10" s="91"/>
      <c r="E10" s="185"/>
      <c r="F10" s="84"/>
      <c r="G10" s="1279"/>
      <c r="H10" s="1279"/>
      <c r="I10" s="85"/>
      <c r="J10" s="85"/>
      <c r="K10" s="1239" t="s">
        <v>200</v>
      </c>
      <c r="L10" s="1240"/>
      <c r="M10" s="85"/>
      <c r="N10" s="1243" t="s">
        <v>199</v>
      </c>
      <c r="O10" s="1244"/>
      <c r="P10" s="196"/>
      <c r="Q10" s="1243" t="s">
        <v>198</v>
      </c>
      <c r="R10" s="1247"/>
      <c r="S10" s="197"/>
      <c r="T10" s="1250" t="s">
        <v>102</v>
      </c>
      <c r="U10" s="1251"/>
      <c r="V10" s="85"/>
      <c r="W10" s="85"/>
      <c r="X10" s="86"/>
      <c r="Y10" s="87"/>
      <c r="Z10" s="88"/>
      <c r="AA10" s="89"/>
      <c r="AB10" s="86"/>
      <c r="AC10" s="86"/>
      <c r="AD10" s="87"/>
      <c r="AE10" s="88"/>
      <c r="AF10" s="89"/>
      <c r="AG10" s="86"/>
      <c r="AH10" s="86"/>
      <c r="AI10" s="87"/>
      <c r="AJ10" s="88"/>
      <c r="AK10" s="89"/>
      <c r="AM10" s="86"/>
      <c r="AN10" s="87"/>
      <c r="AO10" s="88"/>
      <c r="AP10" s="89"/>
      <c r="AR10" s="86"/>
      <c r="AS10" s="87"/>
      <c r="AT10" s="88"/>
      <c r="AU10" s="89"/>
      <c r="AW10" s="86"/>
      <c r="AX10" s="87"/>
      <c r="AY10" s="88"/>
    </row>
    <row r="11" spans="1:51" ht="31.5" customHeight="1">
      <c r="A11" s="17"/>
      <c r="B11" s="17"/>
      <c r="C11" s="1266" t="s">
        <v>2</v>
      </c>
      <c r="D11" s="1267"/>
      <c r="E11" s="1268"/>
      <c r="F11" s="1272" t="s">
        <v>3</v>
      </c>
      <c r="G11" s="81" t="s">
        <v>13</v>
      </c>
      <c r="H11" s="81" t="s">
        <v>16</v>
      </c>
      <c r="I11" s="60"/>
      <c r="J11" s="60"/>
      <c r="K11" s="1241"/>
      <c r="L11" s="1242"/>
      <c r="M11" s="60"/>
      <c r="N11" s="1245"/>
      <c r="O11" s="1246"/>
      <c r="P11" s="193"/>
      <c r="Q11" s="1248"/>
      <c r="R11" s="1249"/>
      <c r="S11" s="198"/>
      <c r="T11" s="1252"/>
      <c r="U11" s="1253"/>
      <c r="V11" s="60"/>
      <c r="W11" s="60"/>
      <c r="X11" s="31"/>
      <c r="Y11" s="32" t="s">
        <v>4</v>
      </c>
      <c r="Z11" s="1" t="s">
        <v>50</v>
      </c>
      <c r="AA11" s="13"/>
      <c r="AC11" s="31"/>
      <c r="AD11" s="32" t="s">
        <v>4</v>
      </c>
      <c r="AE11" s="1" t="s">
        <v>50</v>
      </c>
      <c r="AF11" s="13"/>
      <c r="AH11" s="31"/>
      <c r="AI11" s="32" t="s">
        <v>4</v>
      </c>
      <c r="AJ11" s="1" t="s">
        <v>50</v>
      </c>
      <c r="AK11" s="13"/>
      <c r="AM11" s="31"/>
      <c r="AN11" s="32" t="s">
        <v>4</v>
      </c>
      <c r="AO11" s="1" t="s">
        <v>50</v>
      </c>
      <c r="AP11" s="13"/>
      <c r="AR11" s="31"/>
      <c r="AS11" s="32" t="s">
        <v>4</v>
      </c>
      <c r="AT11" s="1" t="s">
        <v>50</v>
      </c>
      <c r="AU11" s="13"/>
      <c r="AW11" s="31"/>
      <c r="AX11" s="32" t="s">
        <v>4</v>
      </c>
      <c r="AY11" s="1" t="s">
        <v>50</v>
      </c>
    </row>
    <row r="12" spans="1:51" ht="4.5" customHeight="1" thickBot="1">
      <c r="A12" s="17"/>
      <c r="B12" s="17"/>
      <c r="C12" s="1269"/>
      <c r="D12" s="1270"/>
      <c r="E12" s="1271"/>
      <c r="F12" s="1273"/>
      <c r="G12" s="62"/>
      <c r="H12" s="81"/>
      <c r="I12" s="60">
        <v>0</v>
      </c>
      <c r="J12" s="60"/>
      <c r="K12" s="200"/>
      <c r="L12" s="199"/>
      <c r="M12" s="60"/>
      <c r="N12" s="200"/>
      <c r="O12" s="199"/>
      <c r="P12" s="60"/>
      <c r="Q12" s="200"/>
      <c r="R12" s="199"/>
      <c r="S12" s="60"/>
      <c r="T12" s="200"/>
      <c r="U12" s="201"/>
      <c r="V12" s="193"/>
      <c r="W12" s="60"/>
      <c r="Y12" s="33"/>
      <c r="AD12" s="33"/>
      <c r="AI12" s="33"/>
      <c r="AN12" s="33"/>
      <c r="AS12" s="33"/>
      <c r="AX12" s="33"/>
    </row>
    <row r="13" spans="1:51" s="11" customFormat="1" ht="40">
      <c r="A13" s="63"/>
      <c r="B13" s="63"/>
      <c r="C13" s="175" t="s">
        <v>8</v>
      </c>
      <c r="D13" s="1226"/>
      <c r="E13" s="1227"/>
      <c r="F13" s="102" t="s">
        <v>609</v>
      </c>
      <c r="G13" s="234">
        <f>(K13*$D$5+N13*$D$6+Q13*$D$7+T13*$D$8)/($D$9)</f>
        <v>445</v>
      </c>
      <c r="H13" s="101">
        <f>IF(SUM(H14:H20)&lt;G13,SUM(H14:H20),G13)</f>
        <v>0</v>
      </c>
      <c r="I13" s="10">
        <v>0</v>
      </c>
      <c r="J13" s="116"/>
      <c r="K13" s="736">
        <v>340</v>
      </c>
      <c r="L13" s="101">
        <f>IF(SUM(L14:L20)&lt;K13,SUM(L14:L20),K13)</f>
        <v>0</v>
      </c>
      <c r="M13" s="98"/>
      <c r="N13" s="736">
        <v>420</v>
      </c>
      <c r="O13" s="101">
        <f>IF(SUM(O14:O20)&lt;N13,SUM(O14:O20),N13)</f>
        <v>0</v>
      </c>
      <c r="P13" s="98"/>
      <c r="Q13" s="736">
        <v>495</v>
      </c>
      <c r="R13" s="101">
        <f>IF(SUM(R14:R17)&lt;Q13,SUM(R14:R17),Q13)</f>
        <v>0</v>
      </c>
      <c r="S13" s="98"/>
      <c r="T13" s="736">
        <v>525</v>
      </c>
      <c r="U13" s="100">
        <f>IF(SUM(U14:U17)&lt;T13,SUM(U14:U17),T13)</f>
        <v>0</v>
      </c>
      <c r="V13" s="64"/>
      <c r="W13" s="64"/>
      <c r="X13" s="35"/>
      <c r="Y13" s="36"/>
      <c r="Z13" s="5"/>
      <c r="AB13" s="34"/>
      <c r="AC13" s="35"/>
      <c r="AD13" s="36"/>
      <c r="AE13" s="5"/>
      <c r="AG13" s="34"/>
      <c r="AH13" s="35"/>
      <c r="AI13" s="37"/>
      <c r="AJ13" s="5"/>
      <c r="AM13" s="35"/>
      <c r="AN13" s="37"/>
      <c r="AO13" s="5"/>
      <c r="AR13" s="35"/>
      <c r="AS13" s="36"/>
      <c r="AT13" s="5"/>
      <c r="AW13" s="35"/>
      <c r="AX13" s="36"/>
      <c r="AY13" s="5"/>
    </row>
    <row r="14" spans="1:51" s="13" customFormat="1" ht="29" customHeight="1">
      <c r="A14" s="10"/>
      <c r="B14" s="10"/>
      <c r="C14" s="65" t="s">
        <v>8</v>
      </c>
      <c r="D14" s="1228">
        <v>1</v>
      </c>
      <c r="E14" s="1229">
        <v>1</v>
      </c>
      <c r="F14" s="908" t="s">
        <v>602</v>
      </c>
      <c r="G14" s="82"/>
      <c r="H14" s="733">
        <v>0</v>
      </c>
      <c r="I14" s="60">
        <v>5</v>
      </c>
      <c r="J14" s="97"/>
      <c r="K14" s="126">
        <v>30</v>
      </c>
      <c r="L14" s="95">
        <f>$H$14</f>
        <v>0</v>
      </c>
      <c r="M14" s="439"/>
      <c r="N14" s="126">
        <v>30</v>
      </c>
      <c r="O14" s="95">
        <f>$H$14</f>
        <v>0</v>
      </c>
      <c r="P14" s="439"/>
      <c r="Q14" s="126">
        <v>30</v>
      </c>
      <c r="R14" s="95">
        <f>$H$14</f>
        <v>0</v>
      </c>
      <c r="S14" s="439"/>
      <c r="T14" s="126">
        <v>30</v>
      </c>
      <c r="U14" s="235">
        <f>$H$14</f>
        <v>0</v>
      </c>
      <c r="V14" s="10"/>
      <c r="W14" s="10"/>
      <c r="X14" s="35"/>
      <c r="Y14" s="38"/>
      <c r="Z14" s="6"/>
      <c r="AA14" s="18"/>
      <c r="AC14" s="35"/>
      <c r="AD14" s="38"/>
      <c r="AE14" s="6"/>
      <c r="AF14" s="12"/>
      <c r="AH14" s="35"/>
      <c r="AI14" s="38"/>
      <c r="AJ14" s="6"/>
      <c r="AK14" s="12"/>
      <c r="AM14" s="35"/>
      <c r="AN14" s="38"/>
      <c r="AO14" s="6"/>
      <c r="AP14" s="12"/>
      <c r="AR14" s="35"/>
      <c r="AS14" s="38"/>
      <c r="AT14" s="6"/>
      <c r="AU14" s="12"/>
      <c r="AW14" s="35"/>
      <c r="AX14" s="38"/>
      <c r="AY14" s="6"/>
    </row>
    <row r="15" spans="1:51" s="13" customFormat="1" ht="29" customHeight="1">
      <c r="A15" s="10"/>
      <c r="B15" s="10"/>
      <c r="C15" s="427" t="s">
        <v>8</v>
      </c>
      <c r="D15" s="1228">
        <v>2</v>
      </c>
      <c r="E15" s="1229">
        <v>2</v>
      </c>
      <c r="F15" s="908" t="s">
        <v>99</v>
      </c>
      <c r="G15" s="429"/>
      <c r="H15" s="733">
        <v>0</v>
      </c>
      <c r="I15" s="66">
        <v>10</v>
      </c>
      <c r="J15" s="117"/>
      <c r="K15" s="437">
        <v>20</v>
      </c>
      <c r="L15" s="438">
        <f>$H$15</f>
        <v>0</v>
      </c>
      <c r="M15" s="99"/>
      <c r="N15" s="437">
        <v>20</v>
      </c>
      <c r="O15" s="438">
        <f>$H$15</f>
        <v>0</v>
      </c>
      <c r="P15" s="99"/>
      <c r="Q15" s="437">
        <v>20</v>
      </c>
      <c r="R15" s="438">
        <f>$H$15</f>
        <v>0</v>
      </c>
      <c r="S15" s="99"/>
      <c r="T15" s="437">
        <v>20</v>
      </c>
      <c r="U15" s="95">
        <f>$H$15</f>
        <v>0</v>
      </c>
      <c r="V15" s="10"/>
      <c r="W15" s="10"/>
      <c r="X15" s="35"/>
      <c r="Y15" s="38"/>
      <c r="Z15" s="6"/>
      <c r="AA15" s="18"/>
      <c r="AC15" s="35"/>
      <c r="AD15" s="38"/>
      <c r="AE15" s="6"/>
      <c r="AF15" s="12"/>
      <c r="AH15" s="35"/>
      <c r="AI15" s="38"/>
      <c r="AJ15" s="6"/>
      <c r="AK15" s="12"/>
      <c r="AM15" s="35"/>
      <c r="AN15" s="38"/>
      <c r="AO15" s="6"/>
      <c r="AP15" s="12"/>
      <c r="AR15" s="35"/>
      <c r="AS15" s="38"/>
      <c r="AT15" s="6"/>
      <c r="AU15" s="12"/>
      <c r="AW15" s="35"/>
      <c r="AX15" s="38"/>
      <c r="AY15" s="6"/>
    </row>
    <row r="16" spans="1:51" s="13" customFormat="1" ht="29" customHeight="1">
      <c r="A16" s="10"/>
      <c r="B16" s="10"/>
      <c r="C16" s="65" t="s">
        <v>8</v>
      </c>
      <c r="D16" s="1228">
        <v>3</v>
      </c>
      <c r="E16" s="1229">
        <v>3</v>
      </c>
      <c r="F16" s="908" t="s">
        <v>606</v>
      </c>
      <c r="G16" s="82"/>
      <c r="H16" s="95">
        <f>(L16*$D$5+O16*$D$6+R16*$D$7+U16*$D$8)/$D$9</f>
        <v>0</v>
      </c>
      <c r="I16" s="109"/>
      <c r="J16" s="109"/>
      <c r="K16" s="437">
        <v>175</v>
      </c>
      <c r="L16" s="95">
        <f>'A 3.'!$F$53/$K$16*K16</f>
        <v>0</v>
      </c>
      <c r="M16" s="108"/>
      <c r="N16" s="437">
        <v>255</v>
      </c>
      <c r="O16" s="95">
        <f>'A 3.'!$F$53/$K$16*N16</f>
        <v>0</v>
      </c>
      <c r="P16" s="108"/>
      <c r="Q16" s="437">
        <v>380</v>
      </c>
      <c r="R16" s="95">
        <f>'A 3.'!$F$53/$K$16*Q16</f>
        <v>0</v>
      </c>
      <c r="S16" s="108"/>
      <c r="T16" s="437">
        <v>380</v>
      </c>
      <c r="U16" s="95">
        <f>'A 3.'!$F$53/$K$16*T16</f>
        <v>0</v>
      </c>
      <c r="V16" s="10"/>
      <c r="W16" s="10"/>
      <c r="X16" s="35"/>
      <c r="Y16" s="38"/>
      <c r="Z16" s="6"/>
      <c r="AA16" s="18"/>
      <c r="AC16" s="35"/>
      <c r="AD16" s="38"/>
      <c r="AE16" s="6"/>
      <c r="AF16" s="12"/>
      <c r="AH16" s="35"/>
      <c r="AI16" s="38"/>
      <c r="AJ16" s="6"/>
      <c r="AK16" s="12"/>
      <c r="AM16" s="35"/>
      <c r="AN16" s="38"/>
      <c r="AO16" s="6"/>
      <c r="AP16" s="12"/>
      <c r="AR16" s="35"/>
      <c r="AS16" s="38"/>
      <c r="AT16" s="6"/>
      <c r="AU16" s="12"/>
      <c r="AW16" s="35"/>
      <c r="AX16" s="38"/>
      <c r="AY16" s="6"/>
    </row>
    <row r="17" spans="1:51" s="13" customFormat="1" ht="29" customHeight="1" thickBot="1">
      <c r="A17" s="10"/>
      <c r="B17" s="10"/>
      <c r="C17" s="65" t="s">
        <v>8</v>
      </c>
      <c r="D17" s="1228">
        <v>4</v>
      </c>
      <c r="E17" s="1229">
        <v>4</v>
      </c>
      <c r="F17" s="908" t="s">
        <v>607</v>
      </c>
      <c r="G17" s="82"/>
      <c r="H17" s="95">
        <f>(L17*$D$5+O17*$D$6+R17*$D$7+U17*$D$8)/$D$9</f>
        <v>0</v>
      </c>
      <c r="I17" s="13">
        <v>10</v>
      </c>
      <c r="J17" s="109"/>
      <c r="K17" s="126">
        <v>60</v>
      </c>
      <c r="L17" s="95">
        <f>'A 4.'!E29/$K$17*K17</f>
        <v>0</v>
      </c>
      <c r="M17" s="108"/>
      <c r="N17" s="126">
        <v>75</v>
      </c>
      <c r="O17" s="95">
        <f>'A 4.'!E29/$K$17*N17</f>
        <v>0</v>
      </c>
      <c r="P17" s="108"/>
      <c r="Q17" s="119">
        <v>90</v>
      </c>
      <c r="R17" s="106">
        <f>'A 4.'!E29/$K$17*Q17</f>
        <v>0</v>
      </c>
      <c r="S17" s="108"/>
      <c r="T17" s="119">
        <v>120</v>
      </c>
      <c r="U17" s="106">
        <f>'A 4.'!E29/$K$17*T17</f>
        <v>0</v>
      </c>
      <c r="V17" s="10"/>
      <c r="W17" s="10"/>
      <c r="X17" s="35"/>
      <c r="Y17" s="38"/>
      <c r="Z17" s="6"/>
      <c r="AA17" s="18"/>
      <c r="AC17" s="35"/>
      <c r="AD17" s="38"/>
      <c r="AE17" s="6"/>
      <c r="AF17" s="12"/>
      <c r="AH17" s="35"/>
      <c r="AI17" s="38"/>
      <c r="AJ17" s="6"/>
      <c r="AK17" s="12"/>
      <c r="AM17" s="35"/>
      <c r="AN17" s="38"/>
      <c r="AO17" s="6"/>
      <c r="AP17" s="12"/>
      <c r="AR17" s="35"/>
      <c r="AS17" s="38"/>
      <c r="AT17" s="6"/>
      <c r="AU17" s="12"/>
      <c r="AW17" s="35"/>
      <c r="AX17" s="38"/>
      <c r="AY17" s="6"/>
    </row>
    <row r="18" spans="1:51" s="13" customFormat="1" ht="29" customHeight="1">
      <c r="A18" s="10"/>
      <c r="B18" s="10"/>
      <c r="C18" s="65" t="s">
        <v>8</v>
      </c>
      <c r="D18" s="1228">
        <v>5</v>
      </c>
      <c r="E18" s="1229">
        <v>5</v>
      </c>
      <c r="F18" s="908" t="s">
        <v>116</v>
      </c>
      <c r="G18" s="498"/>
      <c r="H18" s="95">
        <f>IF(ISNUMBER((L18*$D$5+O18*$D$6)/($D$5+$D$6)),(L18*$D$5+O18*$D$6)/($D$5+$D$6),0)</f>
        <v>0</v>
      </c>
      <c r="I18" s="13">
        <v>0</v>
      </c>
      <c r="K18" s="294">
        <v>40</v>
      </c>
      <c r="L18" s="95">
        <f>'A 5.'!D9</f>
        <v>0</v>
      </c>
      <c r="M18" s="108"/>
      <c r="N18" s="294">
        <v>40</v>
      </c>
      <c r="O18" s="95">
        <f>'A 5.'!D9</f>
        <v>0</v>
      </c>
      <c r="P18" s="108"/>
      <c r="Q18" s="1260"/>
      <c r="R18" s="1261"/>
      <c r="S18" s="108"/>
      <c r="T18" s="1260"/>
      <c r="U18" s="1261"/>
      <c r="V18" s="10"/>
      <c r="W18" s="10"/>
      <c r="X18" s="35"/>
      <c r="Y18" s="38"/>
      <c r="Z18" s="6"/>
      <c r="AA18" s="18"/>
      <c r="AC18" s="35"/>
      <c r="AD18" s="38"/>
      <c r="AE18" s="6"/>
      <c r="AF18" s="12"/>
      <c r="AH18" s="35"/>
      <c r="AI18" s="38"/>
      <c r="AJ18" s="6"/>
      <c r="AK18" s="12"/>
      <c r="AM18" s="35"/>
      <c r="AN18" s="38"/>
      <c r="AO18" s="6"/>
      <c r="AP18" s="12"/>
      <c r="AR18" s="35"/>
      <c r="AS18" s="38"/>
      <c r="AT18" s="6"/>
      <c r="AU18" s="12"/>
      <c r="AW18" s="35"/>
      <c r="AX18" s="38"/>
      <c r="AY18" s="6"/>
    </row>
    <row r="19" spans="1:51" s="13" customFormat="1" ht="29" customHeight="1">
      <c r="A19" s="10"/>
      <c r="B19" s="10"/>
      <c r="C19" s="296" t="s">
        <v>8</v>
      </c>
      <c r="D19" s="1228">
        <v>6</v>
      </c>
      <c r="E19" s="1229">
        <v>6</v>
      </c>
      <c r="F19" s="908" t="s">
        <v>126</v>
      </c>
      <c r="G19" s="498"/>
      <c r="H19" s="95">
        <f t="shared" ref="H19:H20" si="0">IF(ISNUMBER((L19*$D$5+O19*$D$6)/($D$5+$D$6)),(L19*$D$5+O19*$D$6)/($D$5+$D$6),0)</f>
        <v>0</v>
      </c>
      <c r="I19" s="13">
        <v>10</v>
      </c>
      <c r="K19" s="294">
        <v>10</v>
      </c>
      <c r="L19" s="95">
        <f>'A 6.'!D11</f>
        <v>0</v>
      </c>
      <c r="M19" s="124"/>
      <c r="N19" s="126">
        <v>10</v>
      </c>
      <c r="O19" s="95">
        <f>'A 6.'!D11</f>
        <v>0</v>
      </c>
      <c r="P19" s="108"/>
      <c r="Q19" s="1262"/>
      <c r="R19" s="1263"/>
      <c r="S19" s="108"/>
      <c r="T19" s="1262"/>
      <c r="U19" s="1263"/>
      <c r="V19" s="10"/>
      <c r="W19" s="10"/>
      <c r="X19" s="35"/>
      <c r="Y19" s="38"/>
      <c r="Z19" s="6"/>
      <c r="AA19" s="18"/>
      <c r="AC19" s="35"/>
      <c r="AD19" s="38"/>
      <c r="AE19" s="6"/>
      <c r="AF19" s="12"/>
      <c r="AH19" s="35"/>
      <c r="AI19" s="38"/>
      <c r="AJ19" s="6"/>
      <c r="AK19" s="12"/>
      <c r="AM19" s="35"/>
      <c r="AN19" s="38"/>
      <c r="AO19" s="6"/>
      <c r="AP19" s="12"/>
      <c r="AR19" s="35"/>
      <c r="AS19" s="38"/>
      <c r="AT19" s="6"/>
      <c r="AU19" s="12"/>
      <c r="AW19" s="35"/>
      <c r="AX19" s="38"/>
      <c r="AY19" s="6"/>
    </row>
    <row r="20" spans="1:51" s="13" customFormat="1" ht="29" customHeight="1" thickBot="1">
      <c r="A20" s="10"/>
      <c r="B20" s="10"/>
      <c r="C20" s="118" t="s">
        <v>8</v>
      </c>
      <c r="D20" s="1230">
        <v>7</v>
      </c>
      <c r="E20" s="1231">
        <v>7</v>
      </c>
      <c r="F20" s="909" t="s">
        <v>127</v>
      </c>
      <c r="G20" s="734"/>
      <c r="H20" s="106">
        <f t="shared" si="0"/>
        <v>0</v>
      </c>
      <c r="I20" s="13">
        <v>20</v>
      </c>
      <c r="K20" s="119">
        <v>10</v>
      </c>
      <c r="L20" s="106">
        <f>'A 7.'!C6</f>
        <v>0</v>
      </c>
      <c r="M20" s="124"/>
      <c r="N20" s="119">
        <v>10</v>
      </c>
      <c r="O20" s="106">
        <f>'A 7.'!C6</f>
        <v>0</v>
      </c>
      <c r="P20" s="108"/>
      <c r="Q20" s="1264"/>
      <c r="R20" s="1265"/>
      <c r="S20" s="108"/>
      <c r="T20" s="1264"/>
      <c r="U20" s="1265"/>
      <c r="V20" s="66"/>
      <c r="W20" s="66"/>
      <c r="X20" s="39"/>
      <c r="Y20" s="122"/>
      <c r="Z20" s="1"/>
      <c r="AA20" s="19"/>
      <c r="AB20" s="12"/>
      <c r="AC20" s="39"/>
      <c r="AD20" s="40"/>
      <c r="AE20" s="1"/>
      <c r="AG20" s="12"/>
      <c r="AH20" s="39"/>
      <c r="AI20" s="40"/>
      <c r="AJ20" s="1"/>
      <c r="AK20" s="19"/>
      <c r="AM20" s="39"/>
      <c r="AN20" s="40"/>
      <c r="AO20" s="1"/>
      <c r="AR20" s="39"/>
      <c r="AS20" s="40"/>
      <c r="AT20" s="1"/>
      <c r="AU20" s="19"/>
      <c r="AW20" s="39"/>
      <c r="AX20" s="40"/>
      <c r="AY20" s="1"/>
    </row>
    <row r="21" spans="1:51" s="14" customFormat="1" ht="30" customHeight="1" thickBot="1">
      <c r="A21" s="71"/>
      <c r="B21" s="71"/>
      <c r="C21" s="58"/>
      <c r="D21" s="59"/>
      <c r="E21" s="67"/>
      <c r="F21" s="68"/>
      <c r="G21" s="69"/>
      <c r="H21" s="421"/>
      <c r="I21" s="14">
        <v>30</v>
      </c>
      <c r="J21" s="25"/>
      <c r="K21" s="69"/>
      <c r="L21" s="70"/>
      <c r="M21" s="60"/>
      <c r="N21" s="69"/>
      <c r="O21" s="70"/>
      <c r="P21" s="60"/>
      <c r="Q21" s="70"/>
      <c r="R21" s="421"/>
      <c r="S21" s="60"/>
      <c r="T21" s="69"/>
      <c r="U21" s="421"/>
      <c r="V21" s="72"/>
      <c r="W21" s="72"/>
      <c r="X21" s="42"/>
      <c r="Z21" s="925"/>
      <c r="AB21" s="42"/>
      <c r="AC21" s="43"/>
      <c r="AD21" s="44"/>
      <c r="AE21" s="2"/>
      <c r="AG21" s="42"/>
      <c r="AH21" s="43"/>
      <c r="AI21" s="44"/>
      <c r="AJ21" s="2"/>
      <c r="AK21" s="20"/>
      <c r="AM21" s="43"/>
      <c r="AN21" s="44"/>
      <c r="AO21" s="2"/>
      <c r="AR21" s="43"/>
      <c r="AS21" s="44"/>
      <c r="AT21" s="2"/>
      <c r="AU21" s="20"/>
      <c r="AW21" s="43"/>
      <c r="AX21" s="44"/>
      <c r="AY21" s="2"/>
    </row>
    <row r="22" spans="1:51" ht="30" customHeight="1">
      <c r="A22" s="17"/>
      <c r="B22" s="17"/>
      <c r="C22" s="1221" t="s">
        <v>5</v>
      </c>
      <c r="D22" s="1222"/>
      <c r="E22" s="1223"/>
      <c r="F22" s="103" t="s">
        <v>608</v>
      </c>
      <c r="G22" s="236">
        <f>(K22*$D$5+N22*$D$6+Q22*$D$7+T22*$D$8)/($D$9)</f>
        <v>221.25</v>
      </c>
      <c r="H22" s="237">
        <f>(L22*$D$5+O22*$D$6+R22*$D$7+U22*$D$8)/($D$9)</f>
        <v>0</v>
      </c>
      <c r="I22" s="72"/>
      <c r="J22" s="115"/>
      <c r="K22" s="236">
        <v>330</v>
      </c>
      <c r="L22" s="237">
        <f>IF(('Bewertung durch Expertengremium'!F38+L27&gt;K22),K22,'Bewertung durch Expertengremium'!F38+L27)</f>
        <v>0</v>
      </c>
      <c r="M22" s="112"/>
      <c r="N22" s="236">
        <v>290</v>
      </c>
      <c r="O22" s="237">
        <f>IF('Bewertung durch Expertengremium'!F77+O27&gt;N22,N22,'Bewertung durch Expertengremium'!F77+O27)</f>
        <v>0</v>
      </c>
      <c r="P22" s="72"/>
      <c r="Q22" s="926">
        <v>155</v>
      </c>
      <c r="R22" s="237">
        <f>IF('Bewertung durch Expertengremium'!F116+R27&gt;Q22,Q22,'Bewertung durch Expertengremium'!F116+R27)</f>
        <v>0</v>
      </c>
      <c r="S22" s="112"/>
      <c r="T22" s="236">
        <v>110</v>
      </c>
      <c r="U22" s="237">
        <f>IF('Bewertung durch Expertengremium'!F155+U27&gt;T22,T22,'Bewertung durch Expertengremium'!F155+U27)</f>
        <v>0</v>
      </c>
      <c r="V22" s="60"/>
      <c r="W22" s="60"/>
      <c r="X22" s="47"/>
      <c r="Y22" s="922"/>
      <c r="Z22" s="1"/>
      <c r="AA22" s="22"/>
      <c r="AC22" s="47"/>
      <c r="AD22" s="40"/>
      <c r="AE22" s="4"/>
      <c r="AH22" s="47"/>
      <c r="AI22" s="40"/>
      <c r="AJ22" s="4"/>
      <c r="AK22" s="22"/>
      <c r="AM22" s="47"/>
      <c r="AN22" s="40"/>
      <c r="AO22" s="4"/>
      <c r="AR22" s="47"/>
      <c r="AS22" s="40"/>
      <c r="AT22" s="4"/>
      <c r="AU22" s="22"/>
      <c r="AW22" s="47"/>
      <c r="AX22" s="40"/>
      <c r="AY22" s="4"/>
    </row>
    <row r="23" spans="1:51" ht="30" hidden="1" customHeight="1">
      <c r="A23" s="17"/>
      <c r="B23" s="17"/>
      <c r="C23" s="65" t="str">
        <f>C$22</f>
        <v>B</v>
      </c>
      <c r="D23" s="413" t="str">
        <f>D$27</f>
        <v>5.</v>
      </c>
      <c r="E23" s="414" t="s">
        <v>180</v>
      </c>
      <c r="F23" s="910" t="s">
        <v>282</v>
      </c>
      <c r="G23" s="75"/>
      <c r="H23" s="1233"/>
      <c r="I23" s="60">
        <v>0</v>
      </c>
      <c r="J23" s="113"/>
      <c r="K23" s="1256" t="s">
        <v>106</v>
      </c>
      <c r="L23" s="1257"/>
      <c r="M23" s="110"/>
      <c r="N23" s="1256" t="s">
        <v>106</v>
      </c>
      <c r="O23" s="1257"/>
      <c r="P23" s="60"/>
      <c r="Q23" s="1256" t="s">
        <v>106</v>
      </c>
      <c r="R23" s="1257"/>
      <c r="S23" s="110"/>
      <c r="T23" s="1256" t="s">
        <v>106</v>
      </c>
      <c r="U23" s="1257"/>
      <c r="V23" s="60"/>
      <c r="W23" s="60"/>
      <c r="X23" s="47"/>
      <c r="Y23" s="40"/>
      <c r="Z23" s="4"/>
      <c r="AA23" s="22"/>
      <c r="AC23" s="47"/>
      <c r="AD23" s="40"/>
      <c r="AE23" s="4"/>
      <c r="AH23" s="47"/>
      <c r="AI23" s="40"/>
      <c r="AJ23" s="4"/>
      <c r="AK23" s="22"/>
      <c r="AM23" s="47"/>
      <c r="AN23" s="40"/>
      <c r="AO23" s="4"/>
      <c r="AR23" s="47"/>
      <c r="AS23" s="40"/>
      <c r="AT23" s="4"/>
      <c r="AU23" s="22"/>
      <c r="AW23" s="47"/>
      <c r="AX23" s="40"/>
      <c r="AY23" s="4"/>
    </row>
    <row r="24" spans="1:51" ht="30" hidden="1" customHeight="1">
      <c r="A24" s="17"/>
      <c r="B24" s="17"/>
      <c r="C24" s="65" t="s">
        <v>5</v>
      </c>
      <c r="D24" s="413" t="s">
        <v>111</v>
      </c>
      <c r="E24" s="414" t="s">
        <v>14</v>
      </c>
      <c r="F24" s="910" t="s">
        <v>283</v>
      </c>
      <c r="G24" s="75"/>
      <c r="H24" s="1234"/>
      <c r="I24" s="60">
        <v>25</v>
      </c>
      <c r="J24" s="113"/>
      <c r="K24" s="1258"/>
      <c r="L24" s="1259"/>
      <c r="M24" s="110"/>
      <c r="N24" s="1258"/>
      <c r="O24" s="1259"/>
      <c r="P24" s="60"/>
      <c r="Q24" s="1258"/>
      <c r="R24" s="1259"/>
      <c r="S24" s="110"/>
      <c r="T24" s="1258"/>
      <c r="U24" s="1259"/>
      <c r="V24" s="60"/>
      <c r="W24" s="60"/>
      <c r="X24" s="47"/>
      <c r="Y24" s="40"/>
      <c r="Z24" s="4"/>
      <c r="AA24" s="22"/>
      <c r="AC24" s="47"/>
      <c r="AD24" s="40"/>
      <c r="AE24" s="4"/>
      <c r="AH24" s="47"/>
      <c r="AI24" s="40"/>
      <c r="AJ24" s="4"/>
      <c r="AK24" s="22"/>
      <c r="AM24" s="47"/>
      <c r="AN24" s="40"/>
      <c r="AO24" s="4"/>
      <c r="AR24" s="47"/>
      <c r="AS24" s="40"/>
      <c r="AT24" s="4"/>
      <c r="AU24" s="22"/>
      <c r="AW24" s="47"/>
      <c r="AX24" s="40"/>
      <c r="AY24" s="4"/>
    </row>
    <row r="25" spans="1:51" s="13" customFormat="1" ht="30" hidden="1" customHeight="1">
      <c r="A25" s="10"/>
      <c r="B25" s="10"/>
      <c r="C25" s="65" t="s">
        <v>5</v>
      </c>
      <c r="D25" s="413" t="str">
        <f>D$27</f>
        <v>5.</v>
      </c>
      <c r="E25" s="414" t="s">
        <v>10</v>
      </c>
      <c r="F25" s="910" t="s">
        <v>207</v>
      </c>
      <c r="G25" s="75"/>
      <c r="H25" s="1234"/>
      <c r="I25" s="60">
        <v>50</v>
      </c>
      <c r="J25" s="113"/>
      <c r="K25" s="1258"/>
      <c r="L25" s="1259"/>
      <c r="M25" s="110"/>
      <c r="N25" s="1258"/>
      <c r="O25" s="1259"/>
      <c r="P25" s="60"/>
      <c r="Q25" s="1258"/>
      <c r="R25" s="1259"/>
      <c r="S25" s="110"/>
      <c r="T25" s="1258"/>
      <c r="U25" s="1259"/>
      <c r="V25" s="66"/>
      <c r="W25" s="66"/>
      <c r="X25" s="39"/>
      <c r="Y25" s="40"/>
      <c r="Z25" s="1"/>
      <c r="AA25" s="19"/>
      <c r="AB25" s="12"/>
      <c r="AC25" s="39"/>
      <c r="AD25" s="40"/>
      <c r="AE25" s="1"/>
      <c r="AG25" s="12"/>
      <c r="AH25" s="39"/>
      <c r="AI25" s="40"/>
      <c r="AJ25" s="1"/>
      <c r="AK25" s="19"/>
      <c r="AM25" s="39"/>
      <c r="AN25" s="40"/>
      <c r="AO25" s="1"/>
      <c r="AR25" s="39"/>
      <c r="AS25" s="40"/>
      <c r="AT25" s="1"/>
      <c r="AU25" s="19"/>
      <c r="AW25" s="39"/>
      <c r="AX25" s="40"/>
      <c r="AY25" s="1"/>
    </row>
    <row r="26" spans="1:51" ht="30" hidden="1" customHeight="1">
      <c r="A26" s="17"/>
      <c r="B26" s="17"/>
      <c r="C26" s="65" t="str">
        <f>C$22</f>
        <v>B</v>
      </c>
      <c r="D26" s="413" t="e">
        <f>#REF!</f>
        <v>#REF!</v>
      </c>
      <c r="E26" s="414" t="s">
        <v>112</v>
      </c>
      <c r="F26" s="910" t="s">
        <v>284</v>
      </c>
      <c r="G26" s="82"/>
      <c r="H26" s="1235"/>
      <c r="I26" s="66"/>
      <c r="J26" s="109"/>
      <c r="K26" s="1254" t="str">
        <f>"Punkte Kommision = "&amp;'Bewertung durch Expertengremium'!F38</f>
        <v>Punkte Kommision = 0</v>
      </c>
      <c r="L26" s="1255"/>
      <c r="M26" s="108"/>
      <c r="N26" s="1254" t="str">
        <f>"Punkte Kommision = "&amp;'Bewertung durch Expertengremium'!F77</f>
        <v>Punkte Kommision = 0</v>
      </c>
      <c r="O26" s="1255"/>
      <c r="P26" s="66"/>
      <c r="Q26" s="1254" t="str">
        <f>"Punkte Kommision = "&amp;'Bewertung durch Expertengremium'!F116</f>
        <v>Punkte Kommision = 0</v>
      </c>
      <c r="R26" s="1255"/>
      <c r="S26" s="108"/>
      <c r="T26" s="1254" t="str">
        <f>"Punkte Kommision = "&amp;'Bewertung durch Expertengremium'!F155</f>
        <v>Punkte Kommision = 0</v>
      </c>
      <c r="U26" s="1255"/>
      <c r="V26" s="60"/>
      <c r="W26" s="60"/>
      <c r="X26" s="47"/>
      <c r="Y26" s="40"/>
      <c r="Z26" s="4"/>
      <c r="AA26" s="22"/>
      <c r="AC26" s="47"/>
      <c r="AD26" s="40"/>
      <c r="AE26" s="4"/>
      <c r="AH26" s="47"/>
      <c r="AI26" s="40"/>
      <c r="AJ26" s="4"/>
      <c r="AK26" s="22"/>
      <c r="AM26" s="47"/>
      <c r="AN26" s="40"/>
      <c r="AO26" s="4"/>
      <c r="AR26" s="47"/>
      <c r="AS26" s="40"/>
      <c r="AT26" s="4"/>
      <c r="AU26" s="22"/>
      <c r="AW26" s="47"/>
      <c r="AX26" s="40"/>
      <c r="AY26" s="4"/>
    </row>
    <row r="27" spans="1:51" ht="30" customHeight="1" thickBot="1">
      <c r="A27" s="17"/>
      <c r="B27" s="17"/>
      <c r="C27" s="118" t="str">
        <f>C$22</f>
        <v>B</v>
      </c>
      <c r="D27" s="1224" t="s">
        <v>398</v>
      </c>
      <c r="E27" s="1225"/>
      <c r="F27" s="910" t="s">
        <v>599</v>
      </c>
      <c r="G27" s="94"/>
      <c r="H27" s="919">
        <f>'B 5.'!$D$6</f>
        <v>0</v>
      </c>
      <c r="I27" s="125">
        <v>0</v>
      </c>
      <c r="J27" s="113"/>
      <c r="K27" s="119">
        <v>10</v>
      </c>
      <c r="L27" s="919">
        <f>IF(ISNUMBER('B 5.'!D6),'B 5.'!D6,0)</f>
        <v>0</v>
      </c>
      <c r="M27" s="110"/>
      <c r="N27" s="119">
        <v>10</v>
      </c>
      <c r="O27" s="919">
        <f>IF(ISNUMBER('B 5.'!D6),'B 5.'!D6,0)</f>
        <v>0</v>
      </c>
      <c r="P27" s="60"/>
      <c r="Q27" s="119">
        <v>10</v>
      </c>
      <c r="R27" s="106">
        <f>IF(ISNUMBER('B 5.'!D6),'B 5.'!D6,0)</f>
        <v>0</v>
      </c>
      <c r="S27" s="110"/>
      <c r="T27" s="119">
        <v>10</v>
      </c>
      <c r="U27" s="106">
        <f>IF(ISNUMBER('B 5.'!D6),'B 5.'!D6,0)</f>
        <v>0</v>
      </c>
      <c r="V27" s="66"/>
      <c r="W27" s="66"/>
      <c r="X27" s="39"/>
      <c r="Y27" s="919"/>
      <c r="Z27" s="1"/>
      <c r="AA27" s="22"/>
      <c r="AB27" s="12"/>
      <c r="AC27" s="39"/>
      <c r="AD27" s="9"/>
      <c r="AE27" s="4"/>
      <c r="AG27" s="12"/>
      <c r="AH27" s="39"/>
      <c r="AI27" s="8"/>
      <c r="AJ27" s="4"/>
      <c r="AK27" s="22"/>
      <c r="AM27" s="39"/>
      <c r="AN27" s="8"/>
      <c r="AO27" s="4"/>
      <c r="AR27" s="39"/>
      <c r="AS27" s="8"/>
      <c r="AT27" s="4"/>
      <c r="AU27" s="22"/>
      <c r="AW27" s="39"/>
      <c r="AX27" s="8"/>
      <c r="AY27" s="4"/>
    </row>
    <row r="28" spans="1:51" s="14" customFormat="1" ht="30" customHeight="1" thickBot="1">
      <c r="A28" s="71"/>
      <c r="B28" s="71"/>
      <c r="C28" s="58"/>
      <c r="D28" s="59"/>
      <c r="E28" s="67"/>
      <c r="F28" s="179"/>
      <c r="G28" s="76"/>
      <c r="H28" s="70"/>
      <c r="I28" s="60"/>
      <c r="J28" s="60"/>
      <c r="K28" s="76"/>
      <c r="L28" s="70"/>
      <c r="M28" s="60"/>
      <c r="N28" s="76"/>
      <c r="O28" s="70"/>
      <c r="P28" s="60"/>
      <c r="Q28" s="127"/>
      <c r="R28" s="70"/>
      <c r="S28" s="60"/>
      <c r="T28" s="76"/>
      <c r="U28" s="70"/>
      <c r="V28" s="72"/>
      <c r="W28" s="72"/>
      <c r="X28" s="42"/>
      <c r="Y28" s="924"/>
      <c r="Z28" s="925"/>
      <c r="AB28" s="42"/>
      <c r="AC28" s="43"/>
      <c r="AD28" s="48"/>
      <c r="AE28" s="2"/>
      <c r="AG28" s="42"/>
      <c r="AH28" s="43"/>
      <c r="AI28" s="48"/>
      <c r="AJ28" s="2"/>
      <c r="AK28" s="20"/>
      <c r="AM28" s="43"/>
      <c r="AN28" s="48"/>
      <c r="AO28" s="2"/>
      <c r="AR28" s="43"/>
      <c r="AS28" s="48"/>
      <c r="AT28" s="2"/>
      <c r="AU28" s="20"/>
      <c r="AW28" s="43"/>
      <c r="AX28" s="48"/>
      <c r="AY28" s="2"/>
    </row>
    <row r="29" spans="1:51" s="15" customFormat="1" ht="30" customHeight="1" thickBot="1">
      <c r="A29" s="73"/>
      <c r="B29" s="73"/>
      <c r="C29" s="77" t="s">
        <v>9</v>
      </c>
      <c r="D29" s="78"/>
      <c r="E29" s="105"/>
      <c r="F29" s="104" t="s">
        <v>610</v>
      </c>
      <c r="G29" s="949">
        <f>(K29*$D$5+N29*$D$6+Q29*$D$7+T29*$D$8)/($D$9)</f>
        <v>43.75</v>
      </c>
      <c r="H29" s="423">
        <f>IF(SUM(H30,H32)&lt;G29,H30+H32,G29)</f>
        <v>0</v>
      </c>
      <c r="I29" s="72"/>
      <c r="J29" s="115"/>
      <c r="K29" s="422">
        <v>125</v>
      </c>
      <c r="L29" s="423">
        <f>IF((L30+L32)&lt;K29,(L30+L32),K29)</f>
        <v>0</v>
      </c>
      <c r="M29" s="112"/>
      <c r="N29" s="422">
        <v>50</v>
      </c>
      <c r="O29" s="951">
        <f>IF((O30)&lt;N29,(O30),N29)</f>
        <v>0</v>
      </c>
      <c r="P29" s="112"/>
      <c r="Q29" s="952">
        <v>0</v>
      </c>
      <c r="R29" s="953">
        <v>0</v>
      </c>
      <c r="S29" s="112"/>
      <c r="T29" s="422">
        <v>0</v>
      </c>
      <c r="U29" s="423">
        <v>0</v>
      </c>
      <c r="V29" s="74"/>
      <c r="W29" s="74"/>
      <c r="X29" s="46"/>
      <c r="Y29" s="48"/>
      <c r="Z29" s="3"/>
      <c r="AA29" s="21"/>
      <c r="AB29" s="45"/>
      <c r="AC29" s="46"/>
      <c r="AD29" s="49"/>
      <c r="AE29" s="3"/>
      <c r="AG29" s="45"/>
      <c r="AH29" s="46"/>
      <c r="AI29" s="49"/>
      <c r="AJ29" s="3"/>
      <c r="AK29" s="21"/>
      <c r="AM29" s="46"/>
      <c r="AN29" s="49"/>
      <c r="AO29" s="3"/>
      <c r="AR29" s="46"/>
      <c r="AS29" s="49"/>
      <c r="AT29" s="3"/>
      <c r="AU29" s="21"/>
      <c r="AW29" s="46"/>
      <c r="AX29" s="49"/>
      <c r="AY29" s="3"/>
    </row>
    <row r="30" spans="1:51" ht="30" customHeight="1" thickBot="1">
      <c r="A30" s="17"/>
      <c r="B30" s="17"/>
      <c r="C30" s="1218" t="s">
        <v>621</v>
      </c>
      <c r="D30" s="1219"/>
      <c r="E30" s="1219"/>
      <c r="F30" s="1220"/>
      <c r="G30" s="950">
        <f>(K30*$D$5+N30*$D$6+0*$D$7+0*$D$8)/($D$9)</f>
        <v>31.25</v>
      </c>
      <c r="H30" s="948">
        <f>IF(SUM(H31:H31)&lt;G30,SUM(H31:H31),G30)</f>
        <v>0</v>
      </c>
      <c r="I30" s="74">
        <v>0</v>
      </c>
      <c r="J30" s="114"/>
      <c r="K30" s="950">
        <v>75</v>
      </c>
      <c r="L30" s="948">
        <f>IF(SUM(L31:L31)&lt;K30,SUM(L31:L31),K30)</f>
        <v>0</v>
      </c>
      <c r="M30" s="111"/>
      <c r="N30" s="950">
        <v>50</v>
      </c>
      <c r="O30" s="948">
        <f>IF(SUM(O31:O31)&lt;N30,SUM(O31:O31),N30)</f>
        <v>0</v>
      </c>
      <c r="P30" s="111"/>
      <c r="Q30" s="895"/>
      <c r="R30" s="896"/>
      <c r="S30" s="111"/>
      <c r="T30" s="897"/>
      <c r="U30" s="898"/>
      <c r="V30" s="60"/>
      <c r="W30" s="60"/>
      <c r="X30" s="47"/>
      <c r="Y30" s="49"/>
      <c r="Z30" s="4"/>
      <c r="AA30" s="22"/>
      <c r="AC30" s="47"/>
      <c r="AD30" s="40"/>
      <c r="AE30" s="4"/>
      <c r="AH30" s="47"/>
      <c r="AI30" s="40"/>
      <c r="AJ30" s="4"/>
      <c r="AK30" s="22"/>
      <c r="AM30" s="47"/>
      <c r="AN30" s="40"/>
      <c r="AO30" s="4"/>
      <c r="AR30" s="47"/>
      <c r="AS30" s="40"/>
      <c r="AT30" s="4"/>
      <c r="AU30" s="22"/>
      <c r="AW30" s="47"/>
      <c r="AX30" s="40"/>
      <c r="AY30" s="4"/>
    </row>
    <row r="31" spans="1:51" ht="30" customHeight="1" thickBot="1">
      <c r="A31" s="17"/>
      <c r="B31" s="17"/>
      <c r="C31" s="65" t="s">
        <v>9</v>
      </c>
      <c r="D31" s="1216">
        <f>1</f>
        <v>1</v>
      </c>
      <c r="E31" s="1217"/>
      <c r="F31" s="908" t="s">
        <v>1</v>
      </c>
      <c r="G31" s="428"/>
      <c r="H31" s="7">
        <f>(L31*$D$5+O31*$D$6+0*$D$7+0*$D$8)/$D$9</f>
        <v>0</v>
      </c>
      <c r="I31" s="60">
        <v>5</v>
      </c>
      <c r="J31" s="113"/>
      <c r="K31" s="437">
        <v>75</v>
      </c>
      <c r="L31" s="7">
        <f>'C 1.'!C12</f>
        <v>0</v>
      </c>
      <c r="M31" s="110"/>
      <c r="N31" s="128">
        <v>50</v>
      </c>
      <c r="O31" s="7">
        <f>'C 1.'!C21</f>
        <v>0</v>
      </c>
      <c r="P31" s="110"/>
      <c r="Q31" s="895"/>
      <c r="R31" s="896"/>
      <c r="S31" s="110"/>
      <c r="T31" s="895"/>
      <c r="U31" s="896"/>
      <c r="V31" s="60"/>
      <c r="W31" s="60"/>
      <c r="X31" s="47"/>
      <c r="Y31" s="40"/>
      <c r="Z31" s="4"/>
      <c r="AA31" s="22"/>
      <c r="AC31" s="47"/>
      <c r="AD31" s="40"/>
      <c r="AE31" s="4"/>
      <c r="AH31" s="47"/>
      <c r="AI31" s="40"/>
      <c r="AJ31" s="4"/>
      <c r="AK31" s="22"/>
      <c r="AM31" s="47"/>
      <c r="AN31" s="40"/>
      <c r="AO31" s="4"/>
      <c r="AR31" s="47"/>
      <c r="AS31" s="40"/>
      <c r="AT31" s="4"/>
      <c r="AU31" s="22"/>
      <c r="AW31" s="47"/>
      <c r="AX31" s="40"/>
      <c r="AY31" s="4"/>
    </row>
    <row r="32" spans="1:51" ht="30" customHeight="1" thickBot="1">
      <c r="A32" s="17"/>
      <c r="B32" s="17"/>
      <c r="C32" s="1218" t="s">
        <v>0</v>
      </c>
      <c r="D32" s="1219"/>
      <c r="E32" s="1219"/>
      <c r="F32" s="1220"/>
      <c r="G32" s="947">
        <f>(K32*$D$5+0*$D$6+0*$D$7+0*$D$8)/($D$9)</f>
        <v>17.5</v>
      </c>
      <c r="H32" s="948">
        <f>IF(SUM(H33:H33)&lt;G32,SUM(H33:H33),G32)</f>
        <v>0</v>
      </c>
      <c r="I32" s="74">
        <v>15</v>
      </c>
      <c r="J32" s="114"/>
      <c r="K32" s="950">
        <v>70</v>
      </c>
      <c r="L32" s="948">
        <f>IF(SUM(L33:L33)&lt;K32,SUM(L33:L33),K32)</f>
        <v>0</v>
      </c>
      <c r="M32" s="111"/>
      <c r="N32" s="891"/>
      <c r="O32" s="892"/>
      <c r="P32" s="111"/>
      <c r="Q32" s="895"/>
      <c r="R32" s="896"/>
      <c r="S32" s="111"/>
      <c r="T32" s="895"/>
      <c r="U32" s="896"/>
      <c r="V32" s="60"/>
      <c r="W32" s="60"/>
      <c r="X32" s="47"/>
      <c r="Y32" s="49"/>
      <c r="Z32" s="4"/>
      <c r="AA32" s="22"/>
      <c r="AC32" s="47"/>
      <c r="AD32" s="41"/>
      <c r="AE32" s="4"/>
      <c r="AH32" s="47"/>
      <c r="AI32" s="41"/>
      <c r="AJ32" s="4"/>
      <c r="AK32" s="22"/>
      <c r="AM32" s="47"/>
      <c r="AN32" s="41"/>
      <c r="AO32" s="4"/>
      <c r="AR32" s="47"/>
      <c r="AS32" s="41"/>
      <c r="AT32" s="4"/>
      <c r="AU32" s="22"/>
      <c r="AW32" s="47"/>
      <c r="AX32" s="41"/>
      <c r="AY32" s="4"/>
    </row>
    <row r="33" spans="1:51" s="14" customFormat="1" ht="25.5" customHeight="1" thickBot="1">
      <c r="A33" s="71"/>
      <c r="B33" s="71"/>
      <c r="C33" s="415" t="s">
        <v>9</v>
      </c>
      <c r="D33" s="1216">
        <v>2</v>
      </c>
      <c r="E33" s="1217"/>
      <c r="F33" s="946" t="s">
        <v>15</v>
      </c>
      <c r="G33" s="918"/>
      <c r="H33" s="735">
        <f>(L33*$D$5+0*$D$6+0*$D$7+0*$D$8)/$D$9</f>
        <v>0</v>
      </c>
      <c r="I33" s="60">
        <v>20</v>
      </c>
      <c r="J33" s="113"/>
      <c r="K33" s="954">
        <v>70</v>
      </c>
      <c r="L33" s="735">
        <f>'C 2.'!D14</f>
        <v>0</v>
      </c>
      <c r="M33" s="110"/>
      <c r="N33" s="893"/>
      <c r="O33" s="894"/>
      <c r="P33" s="111"/>
      <c r="Q33" s="895"/>
      <c r="R33" s="896"/>
      <c r="S33" s="111"/>
      <c r="T33" s="899"/>
      <c r="U33" s="900"/>
      <c r="V33" s="72"/>
      <c r="W33" s="72"/>
      <c r="X33" s="43"/>
      <c r="Y33" s="41"/>
      <c r="Z33" s="2"/>
      <c r="AA33" s="20"/>
      <c r="AB33" s="42"/>
      <c r="AC33" s="43"/>
      <c r="AD33" s="50"/>
      <c r="AE33" s="2"/>
      <c r="AG33" s="42"/>
      <c r="AH33" s="43"/>
      <c r="AI33" s="50"/>
      <c r="AJ33" s="2"/>
      <c r="AK33" s="20"/>
      <c r="AM33" s="43"/>
      <c r="AN33" s="50"/>
      <c r="AO33" s="2"/>
      <c r="AR33" s="43"/>
      <c r="AS33" s="50"/>
      <c r="AT33" s="2"/>
      <c r="AU33" s="20"/>
      <c r="AW33" s="43"/>
      <c r="AX33" s="50"/>
      <c r="AY33" s="2"/>
    </row>
    <row r="34" spans="1:51" s="15" customFormat="1" ht="30" customHeight="1" thickBot="1">
      <c r="A34" s="73"/>
      <c r="B34" s="73"/>
      <c r="C34" s="58"/>
      <c r="D34" s="59"/>
      <c r="E34" s="67"/>
      <c r="F34" s="920" t="s">
        <v>7</v>
      </c>
      <c r="G34" s="69"/>
      <c r="H34" s="70"/>
      <c r="I34" s="60"/>
      <c r="J34" s="60"/>
      <c r="K34" s="69"/>
      <c r="L34" s="70"/>
      <c r="M34" s="60"/>
      <c r="N34" s="217"/>
      <c r="O34" s="178"/>
      <c r="P34" s="60"/>
      <c r="Q34" s="217"/>
      <c r="R34" s="178"/>
      <c r="S34" s="60"/>
      <c r="T34" s="69"/>
      <c r="U34" s="70"/>
      <c r="V34" s="79"/>
      <c r="W34" s="79"/>
      <c r="X34" s="51"/>
      <c r="Y34" s="923"/>
      <c r="Z34" s="925"/>
      <c r="AB34" s="51"/>
      <c r="AC34" s="52"/>
      <c r="AD34" s="53"/>
      <c r="AE34" s="3"/>
      <c r="AG34" s="51"/>
      <c r="AH34" s="52"/>
      <c r="AI34" s="53"/>
      <c r="AJ34" s="3"/>
      <c r="AK34" s="21"/>
      <c r="AM34" s="52"/>
      <c r="AN34" s="53"/>
      <c r="AO34" s="3"/>
      <c r="AR34" s="52"/>
      <c r="AS34" s="53"/>
      <c r="AT34" s="3"/>
      <c r="AU34" s="21"/>
      <c r="AW34" s="52"/>
      <c r="AX34" s="53"/>
      <c r="AY34" s="3"/>
    </row>
    <row r="35" spans="1:51" ht="30" customHeight="1" thickBot="1">
      <c r="A35" s="17"/>
      <c r="B35" s="17"/>
      <c r="C35" s="958" t="s">
        <v>11</v>
      </c>
      <c r="D35" s="959"/>
      <c r="E35" s="960"/>
      <c r="F35" s="961" t="s">
        <v>12</v>
      </c>
      <c r="G35" s="962">
        <f>(K35*$D$5+N35*$D$6+Q35*$D$7+T35*$D$8)/($D$9)</f>
        <v>287.5</v>
      </c>
      <c r="H35" s="963">
        <f>IF(SUM(H36:H37)&lt;G35,SUM(H36:H37),G35)</f>
        <v>0</v>
      </c>
      <c r="I35" s="72"/>
      <c r="J35" s="115"/>
      <c r="K35" s="964">
        <v>205</v>
      </c>
      <c r="L35" s="965">
        <f>IF(SUM(L36:L37)&lt;K35,SUM(L36:L37),K35)</f>
        <v>0</v>
      </c>
      <c r="M35" s="112"/>
      <c r="N35" s="964">
        <v>245</v>
      </c>
      <c r="O35" s="965">
        <f>IF(SUM(O36:O37)&lt;N35,SUM(O36:O37),N35)</f>
        <v>0</v>
      </c>
      <c r="P35" s="112"/>
      <c r="Q35" s="964">
        <v>340</v>
      </c>
      <c r="R35" s="965">
        <f>IF(SUM(R36:R37)&lt;Q35,SUM(R36:R37),Q35)</f>
        <v>0</v>
      </c>
      <c r="S35" s="112"/>
      <c r="T35" s="966">
        <v>360</v>
      </c>
      <c r="U35" s="967">
        <f>IF(SUM(U36:U37)&lt;T35,SUM(U36:U37),T35)</f>
        <v>0</v>
      </c>
      <c r="V35" s="60"/>
      <c r="W35" s="60"/>
      <c r="Y35" s="956"/>
      <c r="Z35" s="4"/>
      <c r="AA35" s="22"/>
      <c r="AC35" s="47"/>
      <c r="AD35" s="122"/>
      <c r="AE35" s="4"/>
      <c r="AH35" s="47"/>
      <c r="AI35" s="122"/>
      <c r="AJ35" s="4"/>
      <c r="AK35" s="22"/>
      <c r="AM35" s="47"/>
      <c r="AN35" s="122"/>
      <c r="AO35" s="4"/>
      <c r="AR35" s="47"/>
      <c r="AS35" s="122"/>
      <c r="AT35" s="4"/>
      <c r="AU35" s="22"/>
      <c r="AW35" s="47"/>
      <c r="AX35" s="41"/>
      <c r="AY35" s="4"/>
    </row>
    <row r="36" spans="1:51" ht="31" customHeight="1" thickBot="1">
      <c r="A36" s="17"/>
      <c r="B36" s="17"/>
      <c r="C36" s="427" t="s">
        <v>11</v>
      </c>
      <c r="D36" s="1212">
        <v>1</v>
      </c>
      <c r="E36" s="1213">
        <v>1</v>
      </c>
      <c r="F36" s="920" t="s">
        <v>611</v>
      </c>
      <c r="G36" s="957"/>
      <c r="H36" s="107">
        <f>(L36*$D$5+O36*$D$6+R36*$D$7+U36*$D$8)/$D$9</f>
        <v>0</v>
      </c>
      <c r="I36" s="66"/>
      <c r="J36" s="109"/>
      <c r="K36" s="437">
        <v>175</v>
      </c>
      <c r="L36" s="107">
        <f>'D '!B11</f>
        <v>0</v>
      </c>
      <c r="M36" s="108"/>
      <c r="N36" s="437">
        <v>195</v>
      </c>
      <c r="O36" s="107">
        <f>'D '!B23</f>
        <v>0</v>
      </c>
      <c r="P36" s="108"/>
      <c r="Q36" s="437">
        <v>240</v>
      </c>
      <c r="R36" s="107">
        <f>IF(ISNUMBER('D '!B29),'D '!$B$32,0)</f>
        <v>0</v>
      </c>
      <c r="S36" s="108"/>
      <c r="T36" s="437">
        <v>260</v>
      </c>
      <c r="U36" s="107">
        <f>IF(ISNUMBER('D '!B40),'D '!$B$43,0)</f>
        <v>0</v>
      </c>
      <c r="V36" s="60"/>
      <c r="W36" s="60"/>
      <c r="Y36" s="955"/>
      <c r="Z36" s="3"/>
      <c r="AD36" s="54"/>
      <c r="AE36" s="55"/>
      <c r="AI36" s="54"/>
      <c r="AJ36" s="55"/>
      <c r="AN36" s="54"/>
      <c r="AO36" s="55"/>
      <c r="AS36" s="54"/>
      <c r="AT36" s="55"/>
      <c r="AX36" s="54"/>
      <c r="AY36" s="55"/>
    </row>
    <row r="37" spans="1:51" ht="27" customHeight="1" thickBot="1">
      <c r="C37" s="415" t="s">
        <v>11</v>
      </c>
      <c r="D37" s="1214">
        <v>2</v>
      </c>
      <c r="E37" s="1215">
        <v>2</v>
      </c>
      <c r="F37" s="908" t="s">
        <v>612</v>
      </c>
      <c r="G37" s="93"/>
      <c r="H37" s="106">
        <f>(L37*$D$5+O37*$D$6+R37*$D$7+U37*$D$8)/$D$9</f>
        <v>0</v>
      </c>
      <c r="I37" s="66"/>
      <c r="J37" s="109"/>
      <c r="K37" s="119">
        <v>55</v>
      </c>
      <c r="L37" s="106">
        <f>'D '!B9</f>
        <v>0</v>
      </c>
      <c r="M37" s="108"/>
      <c r="N37" s="119">
        <v>75</v>
      </c>
      <c r="O37" s="106">
        <f>'D '!B21</f>
        <v>0</v>
      </c>
      <c r="P37" s="108"/>
      <c r="Q37" s="119">
        <v>130</v>
      </c>
      <c r="R37" s="106">
        <f>'D '!B33</f>
        <v>0</v>
      </c>
      <c r="S37" s="108"/>
      <c r="T37" s="119">
        <v>120</v>
      </c>
      <c r="U37" s="106">
        <f>'D '!B44</f>
        <v>0</v>
      </c>
      <c r="Y37" s="122"/>
      <c r="Z37" s="3"/>
    </row>
    <row r="38" spans="1:51" ht="20.5" thickBot="1">
      <c r="C38" s="238"/>
      <c r="D38" s="239"/>
      <c r="E38" s="240"/>
      <c r="F38" s="129" t="s">
        <v>6</v>
      </c>
      <c r="G38" s="120">
        <v>1000</v>
      </c>
      <c r="H38" s="121">
        <f>IF(H13+H22+H29+H35&lt;1000,H13+H22+H29+H35,1000)</f>
        <v>0</v>
      </c>
      <c r="I38" s="66"/>
      <c r="J38" s="66"/>
      <c r="K38" s="66"/>
      <c r="L38" s="66"/>
      <c r="M38" s="66"/>
      <c r="N38" s="66"/>
      <c r="O38" s="66"/>
      <c r="P38" s="66"/>
      <c r="Q38" s="66"/>
      <c r="R38" s="66"/>
      <c r="S38" s="66"/>
      <c r="T38" s="66"/>
      <c r="U38" s="66"/>
    </row>
    <row r="39" spans="1:51" ht="15.5">
      <c r="C39" s="57"/>
      <c r="D39" s="241"/>
      <c r="E39" s="242"/>
      <c r="F39" s="56"/>
      <c r="G39" s="57"/>
      <c r="I39" s="12"/>
      <c r="J39" s="12"/>
      <c r="K39" s="12"/>
      <c r="L39" s="12"/>
      <c r="M39" s="12"/>
      <c r="N39" s="12"/>
      <c r="O39" s="12"/>
      <c r="P39" s="12"/>
      <c r="Q39" s="12"/>
      <c r="R39" s="12"/>
      <c r="S39" s="12"/>
      <c r="T39" s="12"/>
      <c r="U39" s="12"/>
      <c r="Y39" s="921"/>
    </row>
    <row r="40" spans="1:51" ht="15.5">
      <c r="F40" s="56"/>
    </row>
    <row r="41" spans="1:51" ht="15.5">
      <c r="F41" s="56"/>
    </row>
    <row r="42" spans="1:51" ht="15.5">
      <c r="F42" s="56"/>
    </row>
    <row r="43" spans="1:51" ht="15.5">
      <c r="F43" s="56"/>
      <c r="H43" s="57" t="s">
        <v>7</v>
      </c>
    </row>
    <row r="44" spans="1:51" ht="15.5">
      <c r="F44" s="56"/>
    </row>
  </sheetData>
  <sheetProtection algorithmName="SHA-512" hashValue="aHIaFyUg+wlzFtWpMchTjRd6fFkEqbNdxU2PNVec9B+0uJ6xNGsn4tjG7i/msRCy+Nks7XA7n1XIFFQmO0hECA==" saltValue="xaUvD268skFyTglLaFHaDw==" spinCount="100000" sheet="1" objects="1" scenarios="1"/>
  <protectedRanges>
    <protectedRange sqref="H15" name="Bereich10"/>
    <protectedRange sqref="H14" name="Bereich9"/>
  </protectedRanges>
  <dataConsolidate/>
  <mergeCells count="45">
    <mergeCell ref="K23:L25"/>
    <mergeCell ref="K26:L26"/>
    <mergeCell ref="W2:W8"/>
    <mergeCell ref="AV2:AV8"/>
    <mergeCell ref="AQ2:AQ8"/>
    <mergeCell ref="AB2:AB8"/>
    <mergeCell ref="AG2:AG8"/>
    <mergeCell ref="AL2:AL8"/>
    <mergeCell ref="Q26:R26"/>
    <mergeCell ref="T23:U25"/>
    <mergeCell ref="T26:U26"/>
    <mergeCell ref="Q23:R25"/>
    <mergeCell ref="Q18:R20"/>
    <mergeCell ref="C1:H1"/>
    <mergeCell ref="H23:H26"/>
    <mergeCell ref="K9:U9"/>
    <mergeCell ref="K10:L11"/>
    <mergeCell ref="N10:O11"/>
    <mergeCell ref="Q10:R11"/>
    <mergeCell ref="T10:U11"/>
    <mergeCell ref="N26:O26"/>
    <mergeCell ref="N23:O25"/>
    <mergeCell ref="T18:U20"/>
    <mergeCell ref="C11:E12"/>
    <mergeCell ref="F11:F12"/>
    <mergeCell ref="G9:H9"/>
    <mergeCell ref="D2:H2"/>
    <mergeCell ref="G10:H10"/>
    <mergeCell ref="G8:H8"/>
    <mergeCell ref="C22:E22"/>
    <mergeCell ref="D27:E27"/>
    <mergeCell ref="D13:E13"/>
    <mergeCell ref="D14:E14"/>
    <mergeCell ref="D15:E15"/>
    <mergeCell ref="D16:E16"/>
    <mergeCell ref="D17:E17"/>
    <mergeCell ref="D18:E18"/>
    <mergeCell ref="D19:E19"/>
    <mergeCell ref="D20:E20"/>
    <mergeCell ref="D36:E36"/>
    <mergeCell ref="D37:E37"/>
    <mergeCell ref="D33:E33"/>
    <mergeCell ref="C30:F30"/>
    <mergeCell ref="C32:F32"/>
    <mergeCell ref="D31:E31"/>
  </mergeCells>
  <phoneticPr fontId="18" type="noConversion"/>
  <conditionalFormatting sqref="A14:C20">
    <cfRule type="expression" dxfId="60" priority="40" stopIfTrue="1">
      <formula>#REF!="n"</formula>
    </cfRule>
  </conditionalFormatting>
  <conditionalFormatting sqref="C31:D31">
    <cfRule type="expression" dxfId="59" priority="6" stopIfTrue="1">
      <formula>#REF!="n"</formula>
    </cfRule>
  </conditionalFormatting>
  <conditionalFormatting sqref="C33:D33">
    <cfRule type="expression" dxfId="58" priority="2" stopIfTrue="1">
      <formula>#REF!="n"</formula>
    </cfRule>
  </conditionalFormatting>
  <conditionalFormatting sqref="C36:D37">
    <cfRule type="expression" dxfId="57" priority="1" stopIfTrue="1">
      <formula>#REF!="n"</formula>
    </cfRule>
  </conditionalFormatting>
  <conditionalFormatting sqref="C23:E26 C27:D27">
    <cfRule type="expression" dxfId="56" priority="63" stopIfTrue="1">
      <formula>#REF!="n"</formula>
    </cfRule>
  </conditionalFormatting>
  <conditionalFormatting sqref="F33:F34">
    <cfRule type="expression" dxfId="55" priority="11" stopIfTrue="1">
      <formula>#REF!="n"</formula>
    </cfRule>
  </conditionalFormatting>
  <conditionalFormatting sqref="F23:G27">
    <cfRule type="expression" dxfId="54" priority="13" stopIfTrue="1">
      <formula>#REF!="n"</formula>
    </cfRule>
  </conditionalFormatting>
  <conditionalFormatting sqref="F31:G31">
    <cfRule type="expression" dxfId="53" priority="12" stopIfTrue="1">
      <formula>#REF!="n"</formula>
    </cfRule>
  </conditionalFormatting>
  <conditionalFormatting sqref="F36:G37">
    <cfRule type="expression" dxfId="52" priority="9" stopIfTrue="1">
      <formula>#REF!="n"</formula>
    </cfRule>
  </conditionalFormatting>
  <conditionalFormatting sqref="H27">
    <cfRule type="expression" dxfId="51" priority="8" stopIfTrue="1">
      <formula>#REF!="n"</formula>
    </cfRule>
  </conditionalFormatting>
  <conditionalFormatting sqref="I15:I16">
    <cfRule type="expression" dxfId="50" priority="15" stopIfTrue="1">
      <formula>#REF!="n"</formula>
    </cfRule>
  </conditionalFormatting>
  <conditionalFormatting sqref="I31:J31">
    <cfRule type="expression" dxfId="49" priority="82" stopIfTrue="1">
      <formula>#REF!="n"</formula>
    </cfRule>
  </conditionalFormatting>
  <conditionalFormatting sqref="I36:J37">
    <cfRule type="expression" dxfId="48" priority="138" stopIfTrue="1">
      <formula>#REF!="n"</formula>
    </cfRule>
  </conditionalFormatting>
  <conditionalFormatting sqref="J16:J17 AB20:AC20 AG20:AH20 AJ20:AM20 AO20:AR20 AT20:AW20 V22:X27 I23:J27 P23:P27 S23:S27 V30:X31 S31">
    <cfRule type="expression" dxfId="47" priority="212" stopIfTrue="1">
      <formula>#REF!="n"</formula>
    </cfRule>
  </conditionalFormatting>
  <conditionalFormatting sqref="K23:K25">
    <cfRule type="expression" dxfId="46" priority="44" stopIfTrue="1">
      <formula>#REF!="n"</formula>
    </cfRule>
  </conditionalFormatting>
  <conditionalFormatting sqref="L31:M31">
    <cfRule type="expression" dxfId="45" priority="81" stopIfTrue="1">
      <formula>#REF!="n"</formula>
    </cfRule>
  </conditionalFormatting>
  <conditionalFormatting sqref="L33:M33">
    <cfRule type="expression" dxfId="44" priority="84" stopIfTrue="1">
      <formula>#REF!="n"</formula>
    </cfRule>
  </conditionalFormatting>
  <conditionalFormatting sqref="L36:M37">
    <cfRule type="expression" dxfId="43" priority="137" stopIfTrue="1">
      <formula>#REF!="n"</formula>
    </cfRule>
  </conditionalFormatting>
  <conditionalFormatting sqref="M14 P14 S14">
    <cfRule type="expression" dxfId="42" priority="43" stopIfTrue="1">
      <formula>#REF!="n"</formula>
    </cfRule>
  </conditionalFormatting>
  <conditionalFormatting sqref="M23:M26 L27:M27">
    <cfRule type="expression" dxfId="41" priority="100" stopIfTrue="1">
      <formula>#REF!="n"</formula>
    </cfRule>
  </conditionalFormatting>
  <conditionalFormatting sqref="N23:N25">
    <cfRule type="expression" dxfId="40" priority="99" stopIfTrue="1">
      <formula>#REF!="n"</formula>
    </cfRule>
  </conditionalFormatting>
  <conditionalFormatting sqref="O27">
    <cfRule type="expression" dxfId="39" priority="103" stopIfTrue="1">
      <formula>#REF!="n"</formula>
    </cfRule>
  </conditionalFormatting>
  <conditionalFormatting sqref="O31:P31">
    <cfRule type="expression" dxfId="38" priority="160" stopIfTrue="1">
      <formula>#REF!="n"</formula>
    </cfRule>
  </conditionalFormatting>
  <conditionalFormatting sqref="O36:P37">
    <cfRule type="expression" dxfId="37" priority="28" stopIfTrue="1">
      <formula>#REF!="n"</formula>
    </cfRule>
  </conditionalFormatting>
  <conditionalFormatting sqref="Q23:Q25">
    <cfRule type="expression" dxfId="36" priority="98" stopIfTrue="1">
      <formula>#REF!="n"</formula>
    </cfRule>
  </conditionalFormatting>
  <conditionalFormatting sqref="R14:R17">
    <cfRule type="expression" dxfId="35" priority="17" stopIfTrue="1">
      <formula>#REF!="n"</formula>
    </cfRule>
  </conditionalFormatting>
  <conditionalFormatting sqref="R27">
    <cfRule type="expression" dxfId="34" priority="102" stopIfTrue="1">
      <formula>#REF!="n"</formula>
    </cfRule>
  </conditionalFormatting>
  <conditionalFormatting sqref="R36:S37">
    <cfRule type="expression" dxfId="33" priority="27" stopIfTrue="1">
      <formula>#REF!="n"</formula>
    </cfRule>
  </conditionalFormatting>
  <conditionalFormatting sqref="T23:T25">
    <cfRule type="expression" dxfId="32" priority="97" stopIfTrue="1">
      <formula>#REF!="n"</formula>
    </cfRule>
  </conditionalFormatting>
  <conditionalFormatting sqref="U14:U17">
    <cfRule type="expression" dxfId="31" priority="16" stopIfTrue="1">
      <formula>#REF!="n"</formula>
    </cfRule>
  </conditionalFormatting>
  <conditionalFormatting sqref="U27">
    <cfRule type="expression" dxfId="30" priority="101" stopIfTrue="1">
      <formula>#REF!="n"</formula>
    </cfRule>
  </conditionalFormatting>
  <conditionalFormatting sqref="U36:U37">
    <cfRule type="expression" dxfId="29" priority="26" stopIfTrue="1">
      <formula>#REF!="n"</formula>
    </cfRule>
  </conditionalFormatting>
  <conditionalFormatting sqref="V20:X20 D28:U28 A30:B31 G33 I33:J33">
    <cfRule type="expression" dxfId="28" priority="85" stopIfTrue="1">
      <formula>#REF!="n"</formula>
    </cfRule>
  </conditionalFormatting>
  <conditionalFormatting sqref="Y27">
    <cfRule type="expression" dxfId="27" priority="7" stopIfTrue="1">
      <formula>#REF!="n"</formula>
    </cfRule>
  </conditionalFormatting>
  <conditionalFormatting sqref="Z22:AC27 AE22:AH27 AJ22:AM27 AO22:AR27 AT22:AW27 AY22:JC27">
    <cfRule type="expression" dxfId="26" priority="200" stopIfTrue="1">
      <formula>#REF!="n"</formula>
    </cfRule>
  </conditionalFormatting>
  <conditionalFormatting sqref="Z30:AC31 Z35:AC35">
    <cfRule type="expression" dxfId="25" priority="189" stopIfTrue="1">
      <formula>#REF!="n"</formula>
    </cfRule>
  </conditionalFormatting>
  <conditionalFormatting sqref="AE30:AH31">
    <cfRule type="expression" dxfId="24" priority="188" stopIfTrue="1">
      <formula>#REF!="n"</formula>
    </cfRule>
  </conditionalFormatting>
  <conditionalFormatting sqref="AJ14:AK19 AO14:AQ19 AT14:AV19 F14:G20 L14:L20 O14:O20 Z14:AA20 AE14:AF20 AY14:JC20 M16:M20 P16:P20 S16:S20 A22:B27 A35:B35 V35:X35 AE35:AH35 AJ35:AM35 AO35:AR35 AT35:AW35 AY35:JC35">
    <cfRule type="expression" dxfId="23" priority="64" stopIfTrue="1">
      <formula>#REF!="n"</formula>
    </cfRule>
  </conditionalFormatting>
  <conditionalFormatting sqref="AJ30:AM31">
    <cfRule type="expression" dxfId="22" priority="187" stopIfTrue="1">
      <formula>#REF!="n"</formula>
    </cfRule>
  </conditionalFormatting>
  <conditionalFormatting sqref="AO30:AR31">
    <cfRule type="expression" dxfId="21" priority="186" stopIfTrue="1">
      <formula>#REF!="n"</formula>
    </cfRule>
  </conditionalFormatting>
  <conditionalFormatting sqref="AT30:AW31">
    <cfRule type="expression" dxfId="20" priority="185" stopIfTrue="1">
      <formula>#REF!="n"</formula>
    </cfRule>
  </conditionalFormatting>
  <conditionalFormatting sqref="AY30:JC31">
    <cfRule type="expression" dxfId="19" priority="191" stopIfTrue="1">
      <formula>#REF!="n"</formula>
    </cfRule>
  </conditionalFormatting>
  <dataValidations xWindow="1893" yWindow="405" count="2">
    <dataValidation type="list" allowBlank="1" showInputMessage="1" showErrorMessage="1" prompt="Ziel nicht erreicht (0 Punkte)_x000a_&gt;= 850 Punkte (20 Punkte)_x000a_&gt;= 750 Punkte oder alt. Vergabeverf. (10 Punkte)_x000a_+ 10 Punkte Bonus" sqref="H14" xr:uid="{00000000-0002-0000-0100-000001000000}">
      <formula1>$I$18:$I$21</formula1>
    </dataValidation>
    <dataValidation type="list" allowBlank="1" showInputMessage="1" showErrorMessage="1" errorTitle="Falscher Wert!" error="Bitte geben Sie die Zahl 0 oder 10 ein." sqref="H15" xr:uid="{00000000-0002-0000-0100-000000000000}">
      <formula1>$I$30:$I$33</formula1>
    </dataValidation>
  </dataValidations>
  <printOptions horizontalCentered="1" verticalCentered="1"/>
  <pageMargins left="3.937007874015748E-2" right="3.937007874015748E-2" top="0.19685039370078741" bottom="3.937007874015748E-2" header="0.31496062992125984" footer="0.31496062992125984"/>
  <pageSetup paperSize="9" scale="42" orientation="landscape" r:id="rId1"/>
  <headerFooter alignWithMargins="0"/>
  <ignoredErrors>
    <ignoredError sqref="H31:H32 H35 L31" formula="1"/>
    <ignoredError sqref="W1 AV1 AQ1 AL1 AG1 AB1" unlocked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798932-FE26-4F29-8387-A7337F46513B}">
  <sheetPr>
    <pageSetUpPr fitToPage="1"/>
  </sheetPr>
  <dimension ref="A1:L55"/>
  <sheetViews>
    <sheetView zoomScale="80" zoomScaleNormal="80" workbookViewId="0">
      <selection activeCell="N22" sqref="N22"/>
    </sheetView>
  </sheetViews>
  <sheetFormatPr baseColWidth="10" defaultColWidth="11.36328125" defaultRowHeight="12.5"/>
  <cols>
    <col min="1" max="1" width="86.36328125" style="161" customWidth="1"/>
    <col min="2" max="3" width="17.36328125" style="161" customWidth="1"/>
    <col min="4" max="4" width="18.7265625" style="140" customWidth="1"/>
    <col min="5" max="5" width="19.81640625" style="161" customWidth="1"/>
    <col min="6" max="6" width="15.81640625" style="218" customWidth="1"/>
    <col min="7" max="7" width="11.08984375" style="306" hidden="1" customWidth="1"/>
    <col min="8" max="8" width="11.08984375" style="161" hidden="1" customWidth="1"/>
    <col min="9" max="10" width="23.81640625" style="161" customWidth="1"/>
    <col min="11" max="11" width="24.6328125" style="161" customWidth="1"/>
    <col min="12" max="12" width="21.81640625" style="161" hidden="1" customWidth="1"/>
    <col min="13" max="16384" width="11.36328125" style="161"/>
  </cols>
  <sheetData>
    <row r="1" spans="1:12" ht="42.75" customHeight="1">
      <c r="A1" s="1172" t="s">
        <v>488</v>
      </c>
      <c r="B1" s="1172"/>
      <c r="C1" s="1172"/>
      <c r="D1" s="1172"/>
      <c r="E1" s="1172"/>
      <c r="F1" s="1172"/>
      <c r="G1" s="1172"/>
    </row>
    <row r="2" spans="1:12" ht="7.5" customHeight="1">
      <c r="A2" s="171"/>
      <c r="B2" s="171"/>
      <c r="C2" s="171"/>
      <c r="D2" s="172"/>
    </row>
    <row r="3" spans="1:12" ht="7.5" customHeight="1" thickBot="1">
      <c r="A3" s="171"/>
      <c r="B3" s="171"/>
      <c r="C3" s="171"/>
      <c r="D3" s="172"/>
    </row>
    <row r="4" spans="1:12" ht="39.75" customHeight="1" thickBot="1">
      <c r="A4" s="743" t="s">
        <v>489</v>
      </c>
      <c r="B4" s="1173" t="s">
        <v>490</v>
      </c>
      <c r="C4" s="1170"/>
      <c r="D4" s="1170"/>
      <c r="E4" s="1170"/>
      <c r="F4" s="744" t="s">
        <v>21</v>
      </c>
      <c r="G4" s="161"/>
      <c r="I4" s="727" t="s">
        <v>50</v>
      </c>
      <c r="J4" s="306"/>
      <c r="L4" s="140">
        <v>0</v>
      </c>
    </row>
    <row r="5" spans="1:12" s="140" customFormat="1" ht="33" customHeight="1" thickBot="1">
      <c r="A5" s="1174" t="s">
        <v>491</v>
      </c>
      <c r="B5" s="1175"/>
      <c r="C5" s="1175"/>
      <c r="D5" s="1175"/>
      <c r="E5" s="1176"/>
      <c r="F5" s="745"/>
      <c r="G5" s="140">
        <v>0</v>
      </c>
      <c r="H5" s="140">
        <v>10</v>
      </c>
      <c r="I5" s="1177"/>
      <c r="J5" s="746"/>
      <c r="L5" s="140">
        <v>5</v>
      </c>
    </row>
    <row r="6" spans="1:12" s="140" customFormat="1" ht="31" customHeight="1" thickBot="1">
      <c r="A6" s="747" t="s">
        <v>492</v>
      </c>
      <c r="B6" s="1179">
        <v>10</v>
      </c>
      <c r="C6" s="1180"/>
      <c r="D6" s="1180"/>
      <c r="E6" s="1111"/>
      <c r="F6" s="748"/>
      <c r="G6" s="307"/>
      <c r="H6" s="307"/>
      <c r="I6" s="1178"/>
      <c r="J6" s="749"/>
      <c r="L6" s="140">
        <v>10</v>
      </c>
    </row>
    <row r="7" spans="1:12" s="140" customFormat="1" ht="33" customHeight="1" thickBot="1">
      <c r="A7" s="750" t="s">
        <v>493</v>
      </c>
      <c r="B7" s="1181" t="s">
        <v>494</v>
      </c>
      <c r="C7" s="1181"/>
      <c r="D7" s="751" t="s">
        <v>495</v>
      </c>
      <c r="E7" s="752" t="s">
        <v>496</v>
      </c>
      <c r="F7" s="753"/>
      <c r="G7" s="307"/>
      <c r="H7" s="307"/>
      <c r="I7" s="299"/>
      <c r="J7" s="754"/>
      <c r="L7" s="140">
        <v>15</v>
      </c>
    </row>
    <row r="8" spans="1:12" s="140" customFormat="1" ht="75" customHeight="1">
      <c r="A8" s="755" t="s">
        <v>497</v>
      </c>
      <c r="B8" s="1182" t="s">
        <v>498</v>
      </c>
      <c r="C8" s="1183"/>
      <c r="D8" s="1186" t="s">
        <v>499</v>
      </c>
      <c r="E8" s="1189" t="s">
        <v>209</v>
      </c>
      <c r="F8" s="1192"/>
      <c r="H8" s="307"/>
      <c r="I8" s="1199"/>
      <c r="J8" s="754"/>
      <c r="L8" s="140">
        <v>25</v>
      </c>
    </row>
    <row r="9" spans="1:12" s="140" customFormat="1" ht="23" customHeight="1">
      <c r="A9" s="1195" t="s">
        <v>500</v>
      </c>
      <c r="B9" s="1184"/>
      <c r="C9" s="1184"/>
      <c r="D9" s="1187"/>
      <c r="E9" s="1190"/>
      <c r="F9" s="1193"/>
      <c r="G9" s="307"/>
      <c r="H9" s="307">
        <v>0</v>
      </c>
      <c r="I9" s="1200"/>
      <c r="J9" s="754"/>
      <c r="L9" s="140">
        <v>30</v>
      </c>
    </row>
    <row r="10" spans="1:12" s="140" customFormat="1" ht="128.25" customHeight="1" thickBot="1">
      <c r="A10" s="1196"/>
      <c r="B10" s="1185"/>
      <c r="C10" s="1185"/>
      <c r="D10" s="1188"/>
      <c r="E10" s="1191"/>
      <c r="F10" s="1194"/>
      <c r="G10" s="307"/>
      <c r="H10" s="307">
        <v>10</v>
      </c>
      <c r="I10" s="1201"/>
      <c r="J10" s="754"/>
      <c r="L10" s="140">
        <v>35</v>
      </c>
    </row>
    <row r="11" spans="1:12" s="140" customFormat="1" ht="34" customHeight="1" thickBot="1">
      <c r="A11" s="1174" t="s">
        <v>501</v>
      </c>
      <c r="B11" s="1175"/>
      <c r="C11" s="1175"/>
      <c r="D11" s="1175"/>
      <c r="E11" s="1176"/>
      <c r="F11" s="756"/>
      <c r="G11" s="307"/>
      <c r="H11" s="307">
        <v>20</v>
      </c>
      <c r="I11" s="1197"/>
      <c r="J11" s="758"/>
      <c r="L11" s="140">
        <v>40</v>
      </c>
    </row>
    <row r="12" spans="1:12" s="140" customFormat="1" ht="36" customHeight="1" thickBot="1">
      <c r="A12" s="759" t="s">
        <v>685</v>
      </c>
      <c r="B12" s="1198">
        <v>10</v>
      </c>
      <c r="C12" s="1198"/>
      <c r="D12" s="1198"/>
      <c r="E12" s="1139"/>
      <c r="F12" s="760"/>
      <c r="G12" s="307">
        <v>10</v>
      </c>
      <c r="H12" s="307">
        <v>30</v>
      </c>
      <c r="I12" s="1197"/>
      <c r="J12" s="758"/>
      <c r="L12" s="140">
        <v>45</v>
      </c>
    </row>
    <row r="13" spans="1:12" ht="33" customHeight="1" thickBot="1">
      <c r="A13" s="761" t="s">
        <v>20</v>
      </c>
      <c r="B13" s="762"/>
      <c r="C13" s="762"/>
      <c r="D13" s="763"/>
      <c r="E13" s="763"/>
      <c r="F13" s="764">
        <f>IF(SUM(F5:F12)&lt;90,SUM(F5:F12),90)</f>
        <v>0</v>
      </c>
      <c r="G13" s="161"/>
      <c r="I13" s="757"/>
      <c r="J13" s="758"/>
      <c r="L13" s="161">
        <v>50</v>
      </c>
    </row>
    <row r="14" spans="1:12">
      <c r="A14" s="765"/>
      <c r="L14" s="161">
        <v>60</v>
      </c>
    </row>
    <row r="15" spans="1:12" ht="16" thickBot="1">
      <c r="A15" s="162"/>
      <c r="B15" s="162"/>
      <c r="C15" s="172"/>
      <c r="D15" s="172"/>
      <c r="E15" s="172"/>
      <c r="F15" s="172"/>
      <c r="G15" s="766"/>
      <c r="H15" s="308"/>
      <c r="I15" s="162"/>
      <c r="J15" s="162"/>
      <c r="L15" s="161">
        <v>70</v>
      </c>
    </row>
    <row r="16" spans="1:12" ht="40" customHeight="1" thickBot="1">
      <c r="A16" s="767" t="s">
        <v>502</v>
      </c>
      <c r="B16" s="1169" t="s">
        <v>17</v>
      </c>
      <c r="C16" s="1170"/>
      <c r="D16" s="1171"/>
      <c r="E16" s="768" t="s">
        <v>503</v>
      </c>
      <c r="F16" s="769" t="s">
        <v>21</v>
      </c>
      <c r="G16" s="162"/>
      <c r="H16" s="162"/>
      <c r="I16" s="770" t="s">
        <v>50</v>
      </c>
      <c r="J16" s="308"/>
    </row>
    <row r="17" spans="1:10" ht="30" customHeight="1">
      <c r="A17" s="1146" t="s">
        <v>504</v>
      </c>
      <c r="B17" s="1144" t="s">
        <v>505</v>
      </c>
      <c r="C17" s="1155"/>
      <c r="D17" s="1155"/>
      <c r="E17" s="1156">
        <v>5</v>
      </c>
      <c r="F17" s="1070"/>
      <c r="G17" s="162"/>
      <c r="H17" s="162">
        <v>0</v>
      </c>
      <c r="I17" s="882"/>
      <c r="J17" s="754"/>
    </row>
    <row r="18" spans="1:10" ht="41" customHeight="1">
      <c r="A18" s="1154"/>
      <c r="B18" s="1161" t="s">
        <v>37</v>
      </c>
      <c r="C18" s="1162"/>
      <c r="D18" s="1162"/>
      <c r="E18" s="1157"/>
      <c r="F18" s="1140"/>
      <c r="G18" s="162"/>
      <c r="H18" s="162">
        <v>5</v>
      </c>
      <c r="I18" s="885"/>
      <c r="J18" s="754"/>
    </row>
    <row r="19" spans="1:10" ht="30" customHeight="1">
      <c r="A19" s="1154"/>
      <c r="B19" s="1163" t="s">
        <v>506</v>
      </c>
      <c r="C19" s="1164"/>
      <c r="D19" s="1164"/>
      <c r="E19" s="1157"/>
      <c r="F19" s="1159"/>
      <c r="G19" s="162"/>
      <c r="H19" s="162"/>
      <c r="I19" s="299"/>
      <c r="J19" s="754"/>
    </row>
    <row r="20" spans="1:10" ht="30" customHeight="1" thickBot="1">
      <c r="A20" s="1154"/>
      <c r="B20" s="1165" t="s">
        <v>507</v>
      </c>
      <c r="C20" s="1096"/>
      <c r="D20" s="1096"/>
      <c r="E20" s="1158"/>
      <c r="F20" s="1160"/>
      <c r="G20" s="162"/>
      <c r="H20" s="162"/>
      <c r="I20" s="299"/>
      <c r="J20" s="754"/>
    </row>
    <row r="21" spans="1:10" ht="30" customHeight="1">
      <c r="A21" s="1154"/>
      <c r="B21" s="1144" t="s">
        <v>508</v>
      </c>
      <c r="C21" s="1155"/>
      <c r="D21" s="1155"/>
      <c r="E21" s="1156">
        <v>10</v>
      </c>
      <c r="F21" s="1070"/>
      <c r="G21" s="162">
        <v>0</v>
      </c>
      <c r="H21" s="162"/>
      <c r="I21" s="299"/>
      <c r="J21" s="754"/>
    </row>
    <row r="22" spans="1:10" ht="30" customHeight="1">
      <c r="A22" s="1154"/>
      <c r="B22" s="1166" t="s">
        <v>509</v>
      </c>
      <c r="C22" s="1167"/>
      <c r="D22" s="1168"/>
      <c r="E22" s="1157"/>
      <c r="F22" s="1140"/>
      <c r="G22" s="162">
        <v>10</v>
      </c>
      <c r="H22" s="162"/>
      <c r="I22" s="299"/>
      <c r="J22" s="754"/>
    </row>
    <row r="23" spans="1:10" ht="30" customHeight="1" thickBot="1">
      <c r="A23" s="1154"/>
      <c r="B23" s="1105" t="s">
        <v>510</v>
      </c>
      <c r="C23" s="1106"/>
      <c r="D23" s="1106"/>
      <c r="E23" s="1158"/>
      <c r="F23" s="1071"/>
      <c r="H23" s="162"/>
      <c r="I23" s="299"/>
      <c r="J23" s="754"/>
    </row>
    <row r="24" spans="1:10" ht="30" customHeight="1">
      <c r="A24" s="1154"/>
      <c r="B24" s="1112" t="s">
        <v>511</v>
      </c>
      <c r="C24" s="1113"/>
      <c r="D24" s="1113"/>
      <c r="E24" s="1113"/>
      <c r="F24" s="1114"/>
      <c r="G24" s="162">
        <v>0</v>
      </c>
      <c r="H24" s="162"/>
      <c r="I24" s="299"/>
      <c r="J24" s="754"/>
    </row>
    <row r="25" spans="1:10" ht="30" customHeight="1">
      <c r="A25" s="1154"/>
      <c r="B25" s="1115" t="s">
        <v>512</v>
      </c>
      <c r="C25" s="1116"/>
      <c r="D25" s="1117"/>
      <c r="E25" s="167">
        <v>5</v>
      </c>
      <c r="F25" s="499"/>
      <c r="G25" s="162">
        <v>5</v>
      </c>
      <c r="H25" s="162"/>
      <c r="I25" s="299"/>
      <c r="J25" s="754"/>
    </row>
    <row r="26" spans="1:10" ht="30" customHeight="1" thickBot="1">
      <c r="A26" s="1147"/>
      <c r="B26" s="1118" t="s">
        <v>513</v>
      </c>
      <c r="C26" s="1119"/>
      <c r="D26" s="1119"/>
      <c r="E26" s="742">
        <v>5</v>
      </c>
      <c r="F26" s="774"/>
      <c r="G26" s="162">
        <v>0</v>
      </c>
      <c r="H26" s="162"/>
      <c r="I26" s="299"/>
      <c r="J26" s="754"/>
    </row>
    <row r="27" spans="1:10" ht="30" customHeight="1">
      <c r="A27" s="1146" t="s">
        <v>687</v>
      </c>
      <c r="B27" s="1148" t="s">
        <v>514</v>
      </c>
      <c r="C27" s="1149"/>
      <c r="D27" s="1149"/>
      <c r="E27" s="1152">
        <v>5</v>
      </c>
      <c r="F27" s="1131"/>
      <c r="G27" s="776">
        <v>0</v>
      </c>
      <c r="H27" s="162"/>
      <c r="I27" s="299"/>
      <c r="J27" s="777"/>
    </row>
    <row r="28" spans="1:10" ht="30" customHeight="1" thickBot="1">
      <c r="A28" s="1147"/>
      <c r="B28" s="1150"/>
      <c r="C28" s="1151"/>
      <c r="D28" s="1151"/>
      <c r="E28" s="1153"/>
      <c r="F28" s="1132"/>
      <c r="G28" s="776">
        <v>5</v>
      </c>
      <c r="H28" s="162"/>
      <c r="I28" s="299"/>
      <c r="J28" s="777"/>
    </row>
    <row r="29" spans="1:10" ht="30" customHeight="1">
      <c r="A29" s="1123" t="s">
        <v>515</v>
      </c>
      <c r="B29" s="1125" t="s">
        <v>516</v>
      </c>
      <c r="C29" s="1126"/>
      <c r="D29" s="1126"/>
      <c r="E29" s="1129">
        <v>10</v>
      </c>
      <c r="F29" s="1131"/>
      <c r="G29" s="776">
        <v>0</v>
      </c>
      <c r="H29" s="162"/>
      <c r="I29" s="299"/>
      <c r="J29" s="777"/>
    </row>
    <row r="30" spans="1:10" ht="30" customHeight="1" thickBot="1">
      <c r="A30" s="1124"/>
      <c r="B30" s="1127"/>
      <c r="C30" s="1128"/>
      <c r="D30" s="1128"/>
      <c r="E30" s="1130"/>
      <c r="F30" s="1132"/>
      <c r="G30" s="779">
        <v>10</v>
      </c>
      <c r="H30" s="162"/>
      <c r="I30" s="299"/>
      <c r="J30" s="777"/>
    </row>
    <row r="31" spans="1:10" ht="30" customHeight="1">
      <c r="A31" s="1099" t="s">
        <v>517</v>
      </c>
      <c r="B31" s="1135" t="s">
        <v>518</v>
      </c>
      <c r="C31" s="1136"/>
      <c r="D31" s="1136"/>
      <c r="E31" s="1137">
        <v>5</v>
      </c>
      <c r="F31" s="1070"/>
      <c r="G31" s="162">
        <v>5</v>
      </c>
      <c r="H31" s="162"/>
      <c r="I31" s="299"/>
      <c r="J31" s="754"/>
    </row>
    <row r="32" spans="1:10" ht="30" customHeight="1">
      <c r="A32" s="1100"/>
      <c r="B32" s="1141" t="s">
        <v>519</v>
      </c>
      <c r="C32" s="1142"/>
      <c r="D32" s="1143"/>
      <c r="E32" s="1138"/>
      <c r="F32" s="1140"/>
      <c r="G32" s="162"/>
      <c r="H32" s="162"/>
      <c r="I32" s="299"/>
      <c r="J32" s="754"/>
    </row>
    <row r="33" spans="1:10" ht="30" customHeight="1" thickBot="1">
      <c r="A33" s="1100"/>
      <c r="B33" s="1072" t="s">
        <v>520</v>
      </c>
      <c r="C33" s="1073"/>
      <c r="D33" s="1074"/>
      <c r="E33" s="1139"/>
      <c r="F33" s="1071"/>
      <c r="G33" s="162"/>
      <c r="H33" s="162"/>
      <c r="I33" s="299"/>
      <c r="J33" s="754"/>
    </row>
    <row r="34" spans="1:10" ht="30" customHeight="1">
      <c r="A34" s="1133"/>
      <c r="B34" s="1144" t="s">
        <v>521</v>
      </c>
      <c r="C34" s="1145"/>
      <c r="D34" s="1145"/>
      <c r="E34" s="1137">
        <v>5</v>
      </c>
      <c r="F34" s="1070"/>
      <c r="G34" s="162">
        <v>0</v>
      </c>
      <c r="H34" s="162"/>
      <c r="I34" s="299"/>
      <c r="J34" s="754"/>
    </row>
    <row r="35" spans="1:10" ht="30" customHeight="1" thickBot="1">
      <c r="A35" s="1133"/>
      <c r="B35" s="1072" t="s">
        <v>522</v>
      </c>
      <c r="C35" s="1073"/>
      <c r="D35" s="1074"/>
      <c r="E35" s="1139"/>
      <c r="F35" s="1071"/>
      <c r="G35" s="162">
        <v>3</v>
      </c>
      <c r="H35" s="162"/>
      <c r="I35" s="299"/>
      <c r="J35" s="754"/>
    </row>
    <row r="36" spans="1:10" ht="30" customHeight="1" thickBot="1">
      <c r="A36" s="1134"/>
      <c r="B36" s="1097" t="s">
        <v>523</v>
      </c>
      <c r="C36" s="1098"/>
      <c r="D36" s="1098"/>
      <c r="E36" s="781">
        <v>3</v>
      </c>
      <c r="F36" s="772"/>
      <c r="H36" s="162"/>
      <c r="I36" s="299"/>
      <c r="J36" s="754"/>
    </row>
    <row r="37" spans="1:10" ht="42" customHeight="1" thickBot="1">
      <c r="A37" s="782" t="s">
        <v>524</v>
      </c>
      <c r="B37" s="1120" t="s">
        <v>525</v>
      </c>
      <c r="C37" s="1121"/>
      <c r="D37" s="1122"/>
      <c r="E37" s="783">
        <v>5</v>
      </c>
      <c r="F37" s="784"/>
      <c r="G37" s="162"/>
      <c r="H37" s="162"/>
      <c r="I37" s="299"/>
      <c r="J37" s="754"/>
    </row>
    <row r="38" spans="1:10" ht="61" customHeight="1">
      <c r="A38" s="1099" t="s">
        <v>526</v>
      </c>
      <c r="B38" s="1102" t="s">
        <v>527</v>
      </c>
      <c r="C38" s="1103"/>
      <c r="D38" s="1104"/>
      <c r="E38" s="1108" t="s">
        <v>528</v>
      </c>
      <c r="F38" s="1109"/>
      <c r="G38" s="307">
        <v>0</v>
      </c>
      <c r="H38" s="307">
        <v>0</v>
      </c>
      <c r="I38" s="1075"/>
      <c r="J38" s="754"/>
    </row>
    <row r="39" spans="1:10" ht="8.25" customHeight="1" thickBot="1">
      <c r="A39" s="1100"/>
      <c r="B39" s="1105"/>
      <c r="C39" s="1106"/>
      <c r="D39" s="1107"/>
      <c r="E39" s="1110"/>
      <c r="F39" s="1111"/>
      <c r="G39" s="307">
        <v>8</v>
      </c>
      <c r="H39" s="307">
        <v>4</v>
      </c>
      <c r="I39" s="1076"/>
      <c r="J39" s="754"/>
    </row>
    <row r="40" spans="1:10" ht="37.5" customHeight="1" thickBot="1">
      <c r="A40" s="1100"/>
      <c r="B40" s="1077" t="s">
        <v>529</v>
      </c>
      <c r="C40" s="1078"/>
      <c r="D40" s="1078"/>
      <c r="E40" s="787">
        <v>8</v>
      </c>
      <c r="F40" s="788"/>
      <c r="G40" s="307">
        <v>0</v>
      </c>
      <c r="H40" s="307">
        <v>0</v>
      </c>
      <c r="I40" s="299"/>
      <c r="J40" s="754"/>
    </row>
    <row r="41" spans="1:10" ht="37.5" customHeight="1" thickBot="1">
      <c r="A41" s="1100"/>
      <c r="B41" s="1079" t="s">
        <v>530</v>
      </c>
      <c r="C41" s="1078"/>
      <c r="D41" s="1078"/>
      <c r="E41" s="787">
        <v>3</v>
      </c>
      <c r="F41" s="788"/>
      <c r="G41" s="307">
        <v>3</v>
      </c>
      <c r="H41" s="307">
        <v>5</v>
      </c>
      <c r="I41" s="299"/>
      <c r="J41" s="754"/>
    </row>
    <row r="42" spans="1:10" ht="37.5" customHeight="1" thickBot="1">
      <c r="A42" s="1100"/>
      <c r="B42" s="1079" t="s">
        <v>210</v>
      </c>
      <c r="C42" s="1080"/>
      <c r="D42" s="1080"/>
      <c r="E42" s="787">
        <v>4</v>
      </c>
      <c r="F42" s="788"/>
      <c r="G42" s="307"/>
      <c r="H42" s="307"/>
      <c r="I42" s="299"/>
      <c r="J42" s="754"/>
    </row>
    <row r="43" spans="1:10" ht="61" customHeight="1" thickBot="1">
      <c r="A43" s="1101"/>
      <c r="B43" s="1081" t="s">
        <v>531</v>
      </c>
      <c r="C43" s="1082"/>
      <c r="D43" s="1082"/>
      <c r="E43" s="789">
        <v>5</v>
      </c>
      <c r="F43" s="790"/>
      <c r="G43" s="135"/>
      <c r="H43" s="135"/>
      <c r="I43" s="299"/>
      <c r="J43" s="754"/>
    </row>
    <row r="44" spans="1:10" ht="33" customHeight="1" thickBot="1">
      <c r="A44" s="1086" t="s">
        <v>20</v>
      </c>
      <c r="B44" s="1087"/>
      <c r="C44" s="1087"/>
      <c r="D44" s="315"/>
      <c r="E44" s="791"/>
      <c r="F44" s="792">
        <f>IF(SUM(F17:F43)&lt;73, SUM(F17:F43),73)</f>
        <v>0</v>
      </c>
      <c r="G44" s="793"/>
      <c r="H44" s="466"/>
      <c r="I44" s="793"/>
      <c r="J44" s="793"/>
    </row>
    <row r="46" spans="1:10" ht="15.75" customHeight="1" thickBot="1">
      <c r="A46" s="779"/>
      <c r="B46" s="779"/>
      <c r="C46" s="794"/>
      <c r="D46" s="779"/>
      <c r="E46" s="779"/>
      <c r="F46" s="795"/>
      <c r="G46" s="779"/>
      <c r="I46" s="779"/>
      <c r="J46" s="779"/>
    </row>
    <row r="47" spans="1:10" ht="31.5" thickBot="1">
      <c r="A47" s="796" t="s">
        <v>532</v>
      </c>
      <c r="B47" s="1088" t="s">
        <v>17</v>
      </c>
      <c r="C47" s="1089"/>
      <c r="D47" s="1090"/>
      <c r="E47" s="797" t="s">
        <v>533</v>
      </c>
      <c r="F47" s="769" t="s">
        <v>21</v>
      </c>
      <c r="G47" s="162">
        <v>0</v>
      </c>
      <c r="I47" s="770" t="s">
        <v>50</v>
      </c>
      <c r="J47" s="308"/>
    </row>
    <row r="48" spans="1:10" ht="111.75" customHeight="1" thickBot="1">
      <c r="A48" s="798" t="s">
        <v>120</v>
      </c>
      <c r="B48" s="1091" t="s">
        <v>534</v>
      </c>
      <c r="C48" s="1091"/>
      <c r="D48" s="1091"/>
      <c r="E48" s="785">
        <v>10</v>
      </c>
      <c r="F48" s="771"/>
      <c r="G48" s="162">
        <v>10</v>
      </c>
      <c r="I48" s="299"/>
      <c r="J48" s="754"/>
    </row>
    <row r="49" spans="1:12" ht="111.75" customHeight="1" thickBot="1">
      <c r="A49" s="799" t="s">
        <v>535</v>
      </c>
      <c r="B49" s="1092" t="s">
        <v>536</v>
      </c>
      <c r="C49" s="1092"/>
      <c r="D49" s="1092"/>
      <c r="E49" s="800">
        <v>5</v>
      </c>
      <c r="F49" s="784"/>
      <c r="G49" s="162">
        <v>0</v>
      </c>
      <c r="I49" s="299"/>
      <c r="J49" s="754"/>
    </row>
    <row r="50" spans="1:12" ht="53.25" customHeight="1">
      <c r="A50" s="1093" t="s">
        <v>537</v>
      </c>
      <c r="B50" s="1095" t="s">
        <v>538</v>
      </c>
      <c r="C50" s="1095"/>
      <c r="D50" s="1095"/>
      <c r="E50" s="775">
        <v>10</v>
      </c>
      <c r="F50" s="801"/>
      <c r="G50" s="162">
        <v>5</v>
      </c>
      <c r="I50" s="299"/>
      <c r="J50" s="754"/>
    </row>
    <row r="51" spans="1:12" ht="53.25" customHeight="1" thickBot="1">
      <c r="A51" s="1094"/>
      <c r="B51" s="1096" t="s">
        <v>539</v>
      </c>
      <c r="C51" s="1096"/>
      <c r="D51" s="1096"/>
      <c r="E51" s="778">
        <v>5</v>
      </c>
      <c r="F51" s="773"/>
      <c r="G51" s="162"/>
      <c r="I51" s="299"/>
      <c r="J51" s="754"/>
      <c r="K51" s="173"/>
      <c r="L51" s="173"/>
    </row>
    <row r="52" spans="1:12" ht="32.5" customHeight="1" thickBot="1">
      <c r="A52" s="1083" t="s">
        <v>20</v>
      </c>
      <c r="B52" s="1084"/>
      <c r="C52" s="1084"/>
      <c r="D52" s="1084"/>
      <c r="E52" s="1085"/>
      <c r="F52" s="792">
        <f>IF(SUM(F48:F51)&lt;30, SUM(F48:F51),30)</f>
        <v>0</v>
      </c>
      <c r="G52" s="793"/>
      <c r="H52" s="466"/>
      <c r="I52" s="793"/>
      <c r="J52" s="793"/>
      <c r="K52" s="793"/>
      <c r="L52" s="793"/>
    </row>
    <row r="53" spans="1:12" ht="32" customHeight="1" thickBot="1">
      <c r="A53" s="802" t="s">
        <v>540</v>
      </c>
      <c r="B53" s="803"/>
      <c r="C53" s="803"/>
      <c r="D53" s="803"/>
      <c r="E53" s="804" t="s">
        <v>541</v>
      </c>
      <c r="F53" s="804">
        <f>IF(SUM(F52+F44+F13)&lt;175, SUM(F13+F44+F52),175)</f>
        <v>0</v>
      </c>
    </row>
    <row r="55" spans="1:12" ht="32.5" customHeight="1"/>
  </sheetData>
  <sheetProtection algorithmName="SHA-512" hashValue="nfAYyoYBzg7igcDxSFVYUZBLEG/wpaPpr2JKxaCJo/5R5+CVoJU43zVWdzc4l53IKWjsQ4CJwqgzsAFu/TVPFQ==" saltValue="/moAuUi03Z8XdgVlmoQtHg==" spinCount="100000" sheet="1" objects="1" scenarios="1"/>
  <mergeCells count="67">
    <mergeCell ref="B16:D16"/>
    <mergeCell ref="A1:G1"/>
    <mergeCell ref="B4:E4"/>
    <mergeCell ref="A5:E5"/>
    <mergeCell ref="I5:I6"/>
    <mergeCell ref="B6:E6"/>
    <mergeCell ref="B7:C7"/>
    <mergeCell ref="B8:C10"/>
    <mergeCell ref="D8:D10"/>
    <mergeCell ref="E8:E10"/>
    <mergeCell ref="F8:F10"/>
    <mergeCell ref="A9:A10"/>
    <mergeCell ref="A11:E11"/>
    <mergeCell ref="I11:I12"/>
    <mergeCell ref="B12:E12"/>
    <mergeCell ref="I8:I10"/>
    <mergeCell ref="A27:A28"/>
    <mergeCell ref="B27:D28"/>
    <mergeCell ref="E27:E28"/>
    <mergeCell ref="F27:F28"/>
    <mergeCell ref="A17:A26"/>
    <mergeCell ref="B17:D17"/>
    <mergeCell ref="E17:E20"/>
    <mergeCell ref="F17:F20"/>
    <mergeCell ref="B18:D18"/>
    <mergeCell ref="B19:D19"/>
    <mergeCell ref="B20:D20"/>
    <mergeCell ref="B21:D21"/>
    <mergeCell ref="E21:E23"/>
    <mergeCell ref="F21:F23"/>
    <mergeCell ref="B22:D22"/>
    <mergeCell ref="B23:D23"/>
    <mergeCell ref="B24:F24"/>
    <mergeCell ref="B25:D25"/>
    <mergeCell ref="B26:D26"/>
    <mergeCell ref="B37:D37"/>
    <mergeCell ref="A29:A30"/>
    <mergeCell ref="B29:D30"/>
    <mergeCell ref="E29:E30"/>
    <mergeCell ref="F29:F30"/>
    <mergeCell ref="A31:A36"/>
    <mergeCell ref="B31:D31"/>
    <mergeCell ref="E31:E33"/>
    <mergeCell ref="F31:F33"/>
    <mergeCell ref="B32:D32"/>
    <mergeCell ref="B33:D33"/>
    <mergeCell ref="B34:D34"/>
    <mergeCell ref="E34:E35"/>
    <mergeCell ref="B42:D42"/>
    <mergeCell ref="B43:D43"/>
    <mergeCell ref="A52:E52"/>
    <mergeCell ref="A44:C44"/>
    <mergeCell ref="B47:D47"/>
    <mergeCell ref="B48:D48"/>
    <mergeCell ref="B49:D49"/>
    <mergeCell ref="A50:A51"/>
    <mergeCell ref="B50:D50"/>
    <mergeCell ref="B51:D51"/>
    <mergeCell ref="A38:A43"/>
    <mergeCell ref="B38:D39"/>
    <mergeCell ref="E38:F39"/>
    <mergeCell ref="F34:F35"/>
    <mergeCell ref="B35:D35"/>
    <mergeCell ref="I38:I39"/>
    <mergeCell ref="B40:D40"/>
    <mergeCell ref="B41:D41"/>
    <mergeCell ref="B36:D36"/>
  </mergeCells>
  <dataValidations count="15">
    <dataValidation type="list" allowBlank="1" showInputMessage="1" showErrorMessage="1" errorTitle="Falscher Wert!" error="Bitte geben Sie die Zahl 0 oder 5 ein." sqref="F36" xr:uid="{A0AB2DF6-DD5E-47ED-A1C2-7A52F4290321}">
      <formula1>$G$34:$G$35</formula1>
    </dataValidation>
    <dataValidation type="list" allowBlank="1" showInputMessage="1" showErrorMessage="1" errorTitle="Falscher Wert!" error="Bitte geben Sie die Zahl 0 oder 20 ein." sqref="F21:F23" xr:uid="{5A84C9D8-8BD1-4F70-95F7-2C4271DD059C}">
      <formula1>$G$21:$G$22</formula1>
    </dataValidation>
    <dataValidation type="list" allowBlank="1" showInputMessage="1" showErrorMessage="1" errorTitle="Falscher Wert!" error="Bitte geben Sie die Zahl 0 oder 5 ein." sqref="F51 F49" xr:uid="{259E70AF-2B14-4F05-B91B-6A060514B8BE}">
      <formula1>$G$49:$G$50</formula1>
    </dataValidation>
    <dataValidation type="list" allowBlank="1" showInputMessage="1" showErrorMessage="1" errorTitle="Falscher Wert!" error="Bitte geben Sie die Zahl 0 oder 5 ein." sqref="F50 F48" xr:uid="{EB9A43C0-ED26-4AE7-8A06-D8398B7C7983}">
      <formula1>$G$47:$G$48</formula1>
    </dataValidation>
    <dataValidation type="list" allowBlank="1" showInputMessage="1" showErrorMessage="1" errorTitle="Falscher Wert!" error="Bitte geben Sie die Zahl 0 ein." sqref="F17:F20" xr:uid="{19E7A88B-29DF-444E-B01E-AC73F62ECDAA}">
      <formula1>$H$17:$H$18</formula1>
    </dataValidation>
    <dataValidation type="list" allowBlank="1" showInputMessage="1" showErrorMessage="1" errorTitle="Falscher Wert!" error="Bitte geben Sie die Zahl 0 oder 10 ein." sqref="F41" xr:uid="{38D5F28E-5E8D-4DBF-86F6-B560162A26A8}">
      <formula1>$G$40:$G$41</formula1>
    </dataValidation>
    <dataValidation type="list" allowBlank="1" showInputMessage="1" showErrorMessage="1" errorTitle="Falscher Wert!" error="Bitte geben Sie die Zahl 0 oder 10 ein." sqref="F40" xr:uid="{4AA8E6A3-D304-4DA1-81AD-6DF60786D48F}">
      <formula1>$G$38:$G$39</formula1>
    </dataValidation>
    <dataValidation type="list" allowBlank="1" showInputMessage="1" showErrorMessage="1" errorTitle="Falscher Wert!" error="Bitte geben Sie die Zahl 0 oder 5 ein." sqref="F43 F37" xr:uid="{A64BBFF1-F67D-4805-A216-87F72C06CEE5}">
      <formula1>$H$40:$H$41</formula1>
    </dataValidation>
    <dataValidation type="list" allowBlank="1" showInputMessage="1" showErrorMessage="1" sqref="F6" xr:uid="{9BB8D766-A7E5-4083-A0EE-ED12154E49A4}">
      <formula1>$G$5:$H$5</formula1>
    </dataValidation>
    <dataValidation type="list" allowBlank="1" showInputMessage="1" showErrorMessage="1" errorTitle="Falscher Wert!" error="Bitte geben Sie die Zahl 0 oder 5 ein." sqref="F26:F28 F31 F34" xr:uid="{8E426858-D57C-4AC2-A9E9-E8C5691DBCEB}">
      <formula1>$G$27:$G$28</formula1>
    </dataValidation>
    <dataValidation type="list" allowBlank="1" showInputMessage="1" showErrorMessage="1" errorTitle="Falscher Wert!" error="Bitte geben Sie die Zahl 0 oder 5 ein." sqref="F29:F30" xr:uid="{DA4069EA-8C5F-4B37-A666-7431F7F932D4}">
      <formula1>$G$29:$G$30</formula1>
    </dataValidation>
    <dataValidation type="list" allowBlank="1" showInputMessage="1" showErrorMessage="1" errorTitle="Falscher Wert!" error="Bitte geben Sie die Zahl 0 oder 10 ein." sqref="F25" xr:uid="{FFA24F7E-AF48-4F93-8703-2EE94DB1CA46}">
      <formula1>$G$24:$G$25</formula1>
    </dataValidation>
    <dataValidation type="list" allowBlank="1" showInputMessage="1" showErrorMessage="1" errorTitle="Falscher Wert!" error="Bitte geben Sie die Zahl 0 oder 5 ein." sqref="F42" xr:uid="{E471D95F-E4FF-434D-AD66-E540C82C5D70}">
      <formula1>$H$38:$H$39</formula1>
    </dataValidation>
    <dataValidation type="list" allowBlank="1" showInputMessage="1" showErrorMessage="1" errorTitle="Falscher Wert!" error="Bitte geben Sie die Zahl 0,10,25 oder 35 ein." sqref="F12" xr:uid="{B4991771-B78F-4CDD-8375-789B480E7C3F}">
      <formula1>$H$9:$H$10</formula1>
    </dataValidation>
    <dataValidation type="list" allowBlank="1" showInputMessage="1" showErrorMessage="1" sqref="F8:F10" xr:uid="{209BEC0B-1338-4D8F-9AF7-4C85367AAAD1}">
      <formula1>$L$4:$L$15</formula1>
    </dataValidation>
  </dataValidations>
  <printOptions horizontalCentered="1"/>
  <pageMargins left="0.59055118110236227" right="0.59055118110236227" top="0.59055118110236227" bottom="0.59055118110236227" header="0.31496062992125984" footer="0.31496062992125984"/>
  <pageSetup paperSize="9" scale="27"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47DB30-8E3B-460A-B989-4A3969CA3693}">
  <sheetPr>
    <pageSetUpPr fitToPage="1"/>
  </sheetPr>
  <dimension ref="A1:O38"/>
  <sheetViews>
    <sheetView zoomScale="80" zoomScaleNormal="80" workbookViewId="0">
      <selection activeCell="E28" sqref="E28"/>
    </sheetView>
  </sheetViews>
  <sheetFormatPr baseColWidth="10" defaultColWidth="11.36328125" defaultRowHeight="12.5"/>
  <cols>
    <col min="1" max="1" width="30.6328125" style="161" customWidth="1"/>
    <col min="2" max="2" width="57.81640625" style="161" customWidth="1"/>
    <col min="3" max="3" width="70.08984375" style="161" customWidth="1"/>
    <col min="4" max="4" width="14.7265625" style="161" customWidth="1"/>
    <col min="5" max="5" width="16.26953125" style="306" customWidth="1"/>
    <col min="6" max="6" width="4.08984375" style="161" hidden="1" customWidth="1"/>
    <col min="7" max="7" width="7.81640625" style="161" hidden="1" customWidth="1"/>
    <col min="8" max="8" width="6" style="161" hidden="1" customWidth="1"/>
    <col min="9" max="9" width="7.36328125" style="161" hidden="1" customWidth="1"/>
    <col min="10" max="10" width="30.7265625" style="306" customWidth="1"/>
    <col min="11" max="11" width="11.36328125" style="161"/>
    <col min="12" max="12" width="5.36328125" style="161" customWidth="1"/>
    <col min="13" max="13" width="2.81640625" style="161" customWidth="1"/>
    <col min="14" max="14" width="44.6328125" style="297" customWidth="1"/>
    <col min="15" max="15" width="21.36328125" style="297" customWidth="1"/>
    <col min="16" max="16384" width="11.36328125" style="161"/>
  </cols>
  <sheetData>
    <row r="1" spans="1:15" ht="42.75" customHeight="1">
      <c r="A1" s="1172" t="s">
        <v>542</v>
      </c>
      <c r="B1" s="1172"/>
      <c r="C1" s="1172"/>
      <c r="D1" s="1172"/>
      <c r="E1" s="1172"/>
      <c r="F1" s="1172"/>
      <c r="G1" s="1172"/>
      <c r="H1" s="1172"/>
      <c r="I1" s="1172"/>
      <c r="J1" s="1172"/>
    </row>
    <row r="2" spans="1:15" ht="7.5" customHeight="1">
      <c r="A2" s="171"/>
      <c r="B2" s="171"/>
      <c r="C2" s="171"/>
      <c r="D2" s="171"/>
      <c r="E2" s="172"/>
    </row>
    <row r="3" spans="1:15" ht="7.5" customHeight="1" thickBot="1">
      <c r="A3" s="171"/>
      <c r="B3" s="171"/>
      <c r="C3" s="171"/>
      <c r="D3" s="171"/>
      <c r="E3" s="172"/>
    </row>
    <row r="4" spans="1:15" ht="54" customHeight="1" thickBot="1">
      <c r="A4" s="805" t="s">
        <v>19</v>
      </c>
      <c r="B4" s="806" t="s">
        <v>17</v>
      </c>
      <c r="C4" s="806" t="s">
        <v>108</v>
      </c>
      <c r="D4" s="807" t="s">
        <v>133</v>
      </c>
      <c r="E4" s="808" t="s">
        <v>21</v>
      </c>
      <c r="J4" s="727" t="s">
        <v>50</v>
      </c>
    </row>
    <row r="5" spans="1:15" s="140" customFormat="1" ht="56.25" customHeight="1" thickBot="1">
      <c r="A5" s="809" t="s">
        <v>109</v>
      </c>
      <c r="B5" s="314" t="s">
        <v>543</v>
      </c>
      <c r="C5" s="314" t="s">
        <v>110</v>
      </c>
      <c r="D5" s="308">
        <v>4</v>
      </c>
      <c r="E5" s="1067"/>
      <c r="F5" s="140">
        <v>0</v>
      </c>
      <c r="G5" s="140">
        <v>4</v>
      </c>
      <c r="J5" s="299"/>
    </row>
    <row r="6" spans="1:15" s="140" customFormat="1" ht="30" customHeight="1" thickBot="1">
      <c r="A6" s="1290" t="s">
        <v>544</v>
      </c>
      <c r="B6" s="1322"/>
      <c r="C6" s="1291"/>
      <c r="D6" s="810" t="s">
        <v>208</v>
      </c>
      <c r="E6" s="825"/>
      <c r="J6" s="299"/>
    </row>
    <row r="7" spans="1:15" s="140" customFormat="1" ht="46" customHeight="1">
      <c r="A7" s="1323" t="s">
        <v>545</v>
      </c>
      <c r="B7" s="1324" t="s">
        <v>546</v>
      </c>
      <c r="C7" s="1324"/>
      <c r="D7" s="780">
        <v>4</v>
      </c>
      <c r="E7" s="811"/>
      <c r="F7" s="307">
        <v>0</v>
      </c>
      <c r="G7" s="307">
        <v>4</v>
      </c>
      <c r="H7" s="307"/>
      <c r="I7" s="307"/>
      <c r="J7" s="299"/>
    </row>
    <row r="8" spans="1:15" s="140" customFormat="1" ht="30" customHeight="1">
      <c r="A8" s="1323"/>
      <c r="B8" s="1116" t="s">
        <v>547</v>
      </c>
      <c r="C8" s="1116"/>
      <c r="D8" s="206">
        <v>4</v>
      </c>
      <c r="E8" s="1325"/>
      <c r="F8" s="307">
        <v>0</v>
      </c>
      <c r="G8" s="307">
        <v>2</v>
      </c>
      <c r="H8" s="307">
        <v>4</v>
      </c>
      <c r="I8" s="307"/>
      <c r="J8" s="1301"/>
    </row>
    <row r="9" spans="1:15" s="140" customFormat="1" ht="30.75" customHeight="1">
      <c r="A9" s="1323"/>
      <c r="B9" s="1116" t="s">
        <v>548</v>
      </c>
      <c r="C9" s="1116"/>
      <c r="D9" s="209">
        <v>2</v>
      </c>
      <c r="E9" s="1316"/>
      <c r="F9" s="307"/>
      <c r="G9" s="307"/>
      <c r="H9" s="307"/>
      <c r="I9" s="307"/>
      <c r="J9" s="1302"/>
    </row>
    <row r="10" spans="1:15" s="140" customFormat="1" ht="30.75" customHeight="1">
      <c r="A10" s="1323"/>
      <c r="B10" s="1116" t="s">
        <v>549</v>
      </c>
      <c r="C10" s="1116"/>
      <c r="D10" s="312">
        <v>4</v>
      </c>
      <c r="E10" s="1325"/>
      <c r="F10" s="307">
        <v>0</v>
      </c>
      <c r="G10" s="307">
        <v>2</v>
      </c>
      <c r="H10" s="307">
        <v>4</v>
      </c>
      <c r="I10" s="307"/>
      <c r="J10" s="1301"/>
    </row>
    <row r="11" spans="1:15" s="140" customFormat="1" ht="30" customHeight="1">
      <c r="A11" s="1323"/>
      <c r="B11" s="1116" t="s">
        <v>550</v>
      </c>
      <c r="C11" s="1116"/>
      <c r="D11" s="206">
        <v>2</v>
      </c>
      <c r="E11" s="1316"/>
      <c r="F11" s="307"/>
      <c r="G11" s="307"/>
      <c r="H11" s="307"/>
      <c r="I11" s="307"/>
      <c r="J11" s="1302"/>
    </row>
    <row r="12" spans="1:15" s="140" customFormat="1" ht="26.5" customHeight="1">
      <c r="A12" s="1323"/>
      <c r="B12" s="1310" t="s">
        <v>551</v>
      </c>
      <c r="C12" s="1311"/>
      <c r="D12" s="1138">
        <v>2</v>
      </c>
      <c r="E12" s="1315"/>
      <c r="F12" s="307">
        <v>0</v>
      </c>
      <c r="G12" s="307">
        <v>2</v>
      </c>
      <c r="H12" s="307"/>
      <c r="J12" s="1317"/>
    </row>
    <row r="13" spans="1:15" s="140" customFormat="1" ht="20.25" customHeight="1">
      <c r="A13" s="1323"/>
      <c r="B13" s="1312"/>
      <c r="C13" s="1313"/>
      <c r="D13" s="1314"/>
      <c r="E13" s="1316"/>
      <c r="F13" s="307"/>
      <c r="G13" s="307"/>
      <c r="H13" s="307"/>
      <c r="I13" s="307">
        <v>0</v>
      </c>
      <c r="J13" s="1317"/>
      <c r="N13" s="812"/>
      <c r="O13" s="813"/>
    </row>
    <row r="14" spans="1:15" s="140" customFormat="1" ht="30" customHeight="1" thickBot="1">
      <c r="A14" s="814"/>
      <c r="B14" s="1107" t="s">
        <v>552</v>
      </c>
      <c r="C14" s="1318"/>
      <c r="D14" s="742">
        <v>3</v>
      </c>
      <c r="E14" s="815"/>
      <c r="F14" s="307">
        <v>0</v>
      </c>
      <c r="G14" s="307">
        <v>3</v>
      </c>
      <c r="H14" s="307"/>
      <c r="I14" s="140">
        <v>3</v>
      </c>
      <c r="J14" s="299"/>
    </row>
    <row r="15" spans="1:15" s="140" customFormat="1" ht="30" customHeight="1">
      <c r="A15" s="1292" t="s">
        <v>553</v>
      </c>
      <c r="B15" s="1104" t="s">
        <v>554</v>
      </c>
      <c r="C15" s="1319"/>
      <c r="D15" s="308">
        <v>3</v>
      </c>
      <c r="E15" s="1320"/>
      <c r="F15" s="307"/>
      <c r="G15" s="307"/>
      <c r="H15" s="307"/>
      <c r="I15" s="307">
        <v>6</v>
      </c>
      <c r="J15" s="299"/>
    </row>
    <row r="16" spans="1:15" s="140" customFormat="1" ht="30" customHeight="1">
      <c r="A16" s="1293"/>
      <c r="B16" s="816" t="s">
        <v>555</v>
      </c>
      <c r="C16" s="817"/>
      <c r="D16" s="308">
        <v>3</v>
      </c>
      <c r="E16" s="1320"/>
      <c r="F16" s="307"/>
      <c r="G16" s="307"/>
      <c r="H16" s="307"/>
      <c r="I16" s="307">
        <v>9</v>
      </c>
      <c r="J16" s="299"/>
    </row>
    <row r="17" spans="1:13" s="140" customFormat="1" ht="30" customHeight="1" thickBot="1">
      <c r="A17" s="1294"/>
      <c r="B17" s="1107" t="s">
        <v>556</v>
      </c>
      <c r="C17" s="1318"/>
      <c r="D17" s="311">
        <v>3</v>
      </c>
      <c r="E17" s="1321"/>
      <c r="F17" s="307"/>
      <c r="G17" s="307"/>
      <c r="H17" s="307"/>
      <c r="I17" s="307"/>
      <c r="J17" s="299"/>
    </row>
    <row r="18" spans="1:13" s="140" customFormat="1" ht="44.5" customHeight="1">
      <c r="A18" s="1293" t="s">
        <v>124</v>
      </c>
      <c r="B18" s="1307" t="s">
        <v>125</v>
      </c>
      <c r="C18" s="819" t="s">
        <v>557</v>
      </c>
      <c r="D18" s="308">
        <v>3</v>
      </c>
      <c r="E18" s="748"/>
      <c r="F18" s="140">
        <v>0</v>
      </c>
      <c r="G18" s="140">
        <v>3</v>
      </c>
      <c r="I18" s="140">
        <v>0</v>
      </c>
      <c r="J18" s="299"/>
    </row>
    <row r="19" spans="1:13" s="140" customFormat="1" ht="44.25" customHeight="1">
      <c r="A19" s="1305"/>
      <c r="B19" s="1308"/>
      <c r="C19" s="820" t="s">
        <v>558</v>
      </c>
      <c r="D19" s="313">
        <v>2</v>
      </c>
      <c r="E19" s="821"/>
      <c r="F19" s="140">
        <v>0</v>
      </c>
      <c r="G19" s="140">
        <v>2</v>
      </c>
      <c r="I19" s="140">
        <v>4</v>
      </c>
      <c r="J19" s="299"/>
    </row>
    <row r="20" spans="1:13" s="140" customFormat="1" ht="44.25" customHeight="1" thickBot="1">
      <c r="A20" s="1306"/>
      <c r="B20" s="1309"/>
      <c r="C20" s="822" t="s">
        <v>559</v>
      </c>
      <c r="D20" s="823">
        <v>1</v>
      </c>
      <c r="E20" s="815"/>
      <c r="F20" s="140">
        <v>0</v>
      </c>
      <c r="G20" s="140">
        <v>1</v>
      </c>
      <c r="I20" s="140">
        <v>8</v>
      </c>
      <c r="J20" s="299"/>
    </row>
    <row r="21" spans="1:13" s="140" customFormat="1" ht="30" customHeight="1" thickBot="1">
      <c r="A21" s="1290" t="s">
        <v>560</v>
      </c>
      <c r="B21" s="1291"/>
      <c r="C21" s="824" t="s">
        <v>561</v>
      </c>
      <c r="D21" s="810" t="s">
        <v>208</v>
      </c>
      <c r="E21" s="825"/>
      <c r="I21" s="140">
        <v>12</v>
      </c>
      <c r="J21" s="299"/>
    </row>
    <row r="22" spans="1:13" s="140" customFormat="1" ht="30.75" customHeight="1">
      <c r="A22" s="1292" t="s">
        <v>562</v>
      </c>
      <c r="B22" s="1295" t="s">
        <v>563</v>
      </c>
      <c r="C22" s="826" t="s">
        <v>564</v>
      </c>
      <c r="D22" s="827">
        <v>4</v>
      </c>
      <c r="E22" s="1298">
        <f>IF(Nebenrechnungen!D126&lt;0.4,0,IF(AND(Nebenrechnungen!D126&gt;=0.4,Nebenrechnungen!D126&lt;0.5),4,IF(AND(Nebenrechnungen!D126&gt;=0.5,Nebenrechnungen!D126&lt;0.6),8,IF(AND(Nebenrechnungen!D126&gt;=0.6,Nebenrechnungen!D126&lt;0.7),12,IF(AND(Nebenrechnungen!D126&gt;=0.7,Nebenrechnungen!D126&lt;0.8),16,20)))))</f>
        <v>0</v>
      </c>
      <c r="I22" s="140">
        <v>16</v>
      </c>
      <c r="J22" s="741"/>
    </row>
    <row r="23" spans="1:13" s="140" customFormat="1" ht="30.75" customHeight="1">
      <c r="A23" s="1293"/>
      <c r="B23" s="1296"/>
      <c r="C23" s="828" t="s">
        <v>565</v>
      </c>
      <c r="D23" s="829">
        <v>8</v>
      </c>
      <c r="E23" s="1299"/>
      <c r="F23" s="307"/>
      <c r="G23" s="307"/>
      <c r="H23" s="307"/>
      <c r="I23" s="307">
        <v>20</v>
      </c>
      <c r="J23" s="1301"/>
    </row>
    <row r="24" spans="1:13" s="140" customFormat="1" ht="30.75" customHeight="1">
      <c r="A24" s="1293"/>
      <c r="B24" s="1296"/>
      <c r="C24" s="828" t="s">
        <v>566</v>
      </c>
      <c r="D24" s="829">
        <v>12</v>
      </c>
      <c r="E24" s="1299"/>
      <c r="F24" s="307"/>
      <c r="G24" s="307"/>
      <c r="H24" s="307"/>
      <c r="I24" s="307"/>
      <c r="J24" s="1199"/>
    </row>
    <row r="25" spans="1:13" s="140" customFormat="1" ht="30.75" customHeight="1">
      <c r="A25" s="1293"/>
      <c r="B25" s="1296"/>
      <c r="C25" s="828" t="s">
        <v>567</v>
      </c>
      <c r="D25" s="829">
        <v>16</v>
      </c>
      <c r="E25" s="1299"/>
      <c r="F25" s="307"/>
      <c r="G25" s="307"/>
      <c r="H25" s="307"/>
      <c r="I25" s="307"/>
      <c r="J25" s="1199"/>
    </row>
    <row r="26" spans="1:13" s="140" customFormat="1" ht="30.75" customHeight="1" thickBot="1">
      <c r="A26" s="1294"/>
      <c r="B26" s="1297"/>
      <c r="C26" s="830" t="s">
        <v>568</v>
      </c>
      <c r="D26" s="831">
        <v>20</v>
      </c>
      <c r="E26" s="1300"/>
      <c r="F26" s="307"/>
      <c r="G26" s="307"/>
      <c r="H26" s="307"/>
      <c r="I26" s="307"/>
      <c r="J26" s="1302"/>
    </row>
    <row r="27" spans="1:13" s="140" customFormat="1" ht="46.5" customHeight="1" thickBot="1">
      <c r="A27" s="832" t="s">
        <v>134</v>
      </c>
      <c r="B27" s="1303" t="s">
        <v>569</v>
      </c>
      <c r="C27" s="1304"/>
      <c r="D27" s="833">
        <v>5</v>
      </c>
      <c r="E27" s="834"/>
      <c r="F27" s="307">
        <v>0</v>
      </c>
      <c r="G27" s="307">
        <v>5</v>
      </c>
      <c r="H27" s="307"/>
      <c r="I27" s="307"/>
      <c r="J27" s="299"/>
    </row>
    <row r="28" spans="1:13" s="140" customFormat="1" ht="46.5" customHeight="1" thickBot="1">
      <c r="A28" s="818" t="s">
        <v>135</v>
      </c>
      <c r="B28" s="1286" t="s">
        <v>570</v>
      </c>
      <c r="C28" s="1287"/>
      <c r="D28" s="786">
        <v>5</v>
      </c>
      <c r="E28" s="835"/>
      <c r="F28" s="307">
        <v>0</v>
      </c>
      <c r="G28" s="307">
        <v>5</v>
      </c>
      <c r="H28" s="307"/>
      <c r="I28" s="307"/>
      <c r="J28" s="299"/>
      <c r="K28" s="1288"/>
      <c r="L28" s="1289"/>
      <c r="M28" s="1289"/>
    </row>
    <row r="29" spans="1:13" s="140" customFormat="1" ht="35.25" customHeight="1" thickBot="1">
      <c r="A29" s="1086" t="s">
        <v>20</v>
      </c>
      <c r="B29" s="1087"/>
      <c r="C29" s="1087"/>
      <c r="D29" s="315"/>
      <c r="E29" s="836">
        <f>IF((IF(SUM(E7:E20)&lt;30,SUM(E7:E20),30)+SUM(E22:E28)+E5)&lt;60,(IF(SUM(E7:E20)&lt;30,SUM(E7:E20),30)+SUM(E22:E28)+E5),60)</f>
        <v>0</v>
      </c>
      <c r="F29" s="135"/>
      <c r="G29" s="135"/>
      <c r="H29" s="135"/>
      <c r="I29" s="135"/>
      <c r="J29" s="447"/>
    </row>
    <row r="30" spans="1:13" s="135" customFormat="1" ht="30.25" customHeight="1">
      <c r="A30" s="130"/>
      <c r="B30" s="130"/>
      <c r="C30" s="130"/>
      <c r="D30" s="130"/>
      <c r="E30" s="837"/>
      <c r="F30" s="161"/>
      <c r="G30" s="161"/>
      <c r="H30" s="161"/>
      <c r="I30" s="161"/>
      <c r="J30" s="306"/>
    </row>
    <row r="37" ht="12.75" customHeight="1"/>
    <row r="38" ht="12.75" customHeight="1"/>
  </sheetData>
  <sheetProtection algorithmName="SHA-512" hashValue="RUfy5/S9LRDznPHVA1Ucxkq0jN+3XdB35tiwsgww7VAXDvCRHtat5NX3nMI4INKP3COR90g2jKH0zeGstbI1GQ==" saltValue="CQAQq0aRS34uYyikcWygGg==" spinCount="100000" sheet="1" selectLockedCells="1"/>
  <mergeCells count="32">
    <mergeCell ref="A1:J1"/>
    <mergeCell ref="A6:C6"/>
    <mergeCell ref="A7:A13"/>
    <mergeCell ref="B7:C7"/>
    <mergeCell ref="B8:C8"/>
    <mergeCell ref="E8:E9"/>
    <mergeCell ref="J8:J9"/>
    <mergeCell ref="B9:C9"/>
    <mergeCell ref="B10:C10"/>
    <mergeCell ref="E10:E11"/>
    <mergeCell ref="A18:A20"/>
    <mergeCell ref="B18:B20"/>
    <mergeCell ref="J10:J11"/>
    <mergeCell ref="B11:C11"/>
    <mergeCell ref="B12:C13"/>
    <mergeCell ref="D12:D13"/>
    <mergeCell ref="E12:E13"/>
    <mergeCell ref="J12:J13"/>
    <mergeCell ref="B14:C14"/>
    <mergeCell ref="A15:A17"/>
    <mergeCell ref="B15:C15"/>
    <mergeCell ref="E15:E17"/>
    <mergeCell ref="B17:C17"/>
    <mergeCell ref="B28:C28"/>
    <mergeCell ref="K28:M28"/>
    <mergeCell ref="A29:C29"/>
    <mergeCell ref="A21:B21"/>
    <mergeCell ref="A22:A26"/>
    <mergeCell ref="B22:B26"/>
    <mergeCell ref="E22:E26"/>
    <mergeCell ref="J23:J26"/>
    <mergeCell ref="B27:C27"/>
  </mergeCells>
  <dataValidations count="12">
    <dataValidation type="list" allowBlank="1" showInputMessage="1" showErrorMessage="1" sqref="E15:E17" xr:uid="{D9F501B0-C09F-4875-90D9-A7BA14AD4593}">
      <formula1>$I$13:$I$16</formula1>
    </dataValidation>
    <dataValidation type="list" allowBlank="1" showInputMessage="1" showErrorMessage="1" sqref="E5" xr:uid="{1D3424AF-BF81-4F15-A289-E9CBAC5CB17F}">
      <formula1>$F$5:$G$5</formula1>
    </dataValidation>
    <dataValidation type="list" allowBlank="1" showInputMessage="1" showErrorMessage="1" sqref="E7" xr:uid="{D9E2DE9B-4052-4D5D-88B8-698E75F8E3C9}">
      <formula1>$F$7:$G$7</formula1>
    </dataValidation>
    <dataValidation type="list" allowBlank="1" showInputMessage="1" showErrorMessage="1" sqref="E28" xr:uid="{9A191591-8140-4BB4-A2CB-FCF6964C1AF9}">
      <formula1>$F$28:$G$28</formula1>
    </dataValidation>
    <dataValidation type="list" allowBlank="1" showInputMessage="1" showErrorMessage="1" sqref="E18" xr:uid="{B660C300-7B89-49B7-8C77-F60F91148883}">
      <formula1>$F$18:$G$18</formula1>
    </dataValidation>
    <dataValidation type="list" allowBlank="1" showInputMessage="1" showErrorMessage="1" sqref="E19" xr:uid="{09366B45-79BB-4CFB-BA88-5F44B3B8D06B}">
      <formula1>$F$19:$G$19</formula1>
    </dataValidation>
    <dataValidation type="list" allowBlank="1" showInputMessage="1" showErrorMessage="1" sqref="E20" xr:uid="{C52DE8AB-E7D2-4393-96FB-FF665FDB76F0}">
      <formula1>$F$20:$G$20</formula1>
    </dataValidation>
    <dataValidation type="list" allowBlank="1" showInputMessage="1" showErrorMessage="1" sqref="E12:E13" xr:uid="{5416BC29-0F7B-4C46-8FAD-8EBCCCD401AC}">
      <formula1>$F$12:$G$12</formula1>
    </dataValidation>
    <dataValidation type="list" allowBlank="1" showInputMessage="1" showErrorMessage="1" sqref="E8:E9" xr:uid="{B6F01B39-9209-479B-B58A-9AF723A7ECD0}">
      <formula1>$F$8:$H$8</formula1>
    </dataValidation>
    <dataValidation type="list" allowBlank="1" showInputMessage="1" showErrorMessage="1" sqref="E10:E11" xr:uid="{1800F0B0-0BF6-479F-AE1F-51554C4E4D51}">
      <formula1>$F$10:$H$10</formula1>
    </dataValidation>
    <dataValidation type="list" allowBlank="1" showInputMessage="1" showErrorMessage="1" sqref="E27" xr:uid="{D92AD35E-33B7-462A-BFA4-B99795153F4F}">
      <formula1>$F$27:$G$27</formula1>
    </dataValidation>
    <dataValidation type="list" allowBlank="1" showInputMessage="1" showErrorMessage="1" sqref="E14" xr:uid="{FC73828B-498C-4E62-B531-CDD32DF82008}">
      <formula1>$F$14:$G$14</formula1>
    </dataValidation>
  </dataValidations>
  <printOptions horizontalCentered="1"/>
  <pageMargins left="0.59055118110236227" right="0.59055118110236227" top="0.59055118110236227" bottom="0.59055118110236227" header="0.31496062992125984" footer="0.31496062992125984"/>
  <pageSetup paperSize="9" scale="44"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162F10-9FCF-4FDC-B4EB-152558B7E896}">
  <sheetPr>
    <pageSetUpPr fitToPage="1"/>
  </sheetPr>
  <dimension ref="A1:G16"/>
  <sheetViews>
    <sheetView zoomScale="80" zoomScaleNormal="80" workbookViewId="0">
      <selection activeCell="D8" sqref="D8"/>
    </sheetView>
  </sheetViews>
  <sheetFormatPr baseColWidth="10" defaultColWidth="11.36328125" defaultRowHeight="12.5"/>
  <cols>
    <col min="1" max="1" width="37.36328125" style="838" customWidth="1"/>
    <col min="2" max="2" width="93.6328125" style="838" customWidth="1"/>
    <col min="3" max="3" width="10.26953125" style="838" customWidth="1"/>
    <col min="4" max="4" width="22.36328125" style="839" customWidth="1"/>
    <col min="5" max="5" width="22.36328125" style="838" hidden="1" customWidth="1"/>
    <col min="6" max="6" width="22.36328125" style="839" customWidth="1"/>
    <col min="7" max="7" width="11.36328125" style="838" hidden="1" customWidth="1"/>
    <col min="8" max="8" width="0" style="838" hidden="1" customWidth="1"/>
    <col min="9" max="16384" width="11.36328125" style="838"/>
  </cols>
  <sheetData>
    <row r="1" spans="1:7" ht="41.5" customHeight="1">
      <c r="A1" s="1326" t="s">
        <v>582</v>
      </c>
      <c r="B1" s="1326"/>
      <c r="C1" s="1326"/>
      <c r="D1" s="1326"/>
    </row>
    <row r="2" spans="1:7" ht="7.5" customHeight="1" thickBot="1">
      <c r="A2" s="840"/>
      <c r="B2" s="840"/>
      <c r="C2" s="840"/>
      <c r="D2" s="420"/>
    </row>
    <row r="3" spans="1:7" s="845" customFormat="1" ht="41.25" customHeight="1" thickBot="1">
      <c r="A3" s="841" t="s">
        <v>19</v>
      </c>
      <c r="B3" s="842" t="s">
        <v>17</v>
      </c>
      <c r="C3" s="843" t="s">
        <v>571</v>
      </c>
      <c r="D3" s="844" t="s">
        <v>4</v>
      </c>
      <c r="F3" s="846" t="s">
        <v>50</v>
      </c>
      <c r="G3" s="845">
        <v>0</v>
      </c>
    </row>
    <row r="4" spans="1:7" ht="30" customHeight="1" thickBot="1">
      <c r="A4" s="847" t="s">
        <v>117</v>
      </c>
      <c r="B4" s="848" t="s">
        <v>572</v>
      </c>
      <c r="C4" s="849">
        <v>20</v>
      </c>
      <c r="D4" s="850"/>
      <c r="E4" s="851">
        <v>0</v>
      </c>
      <c r="F4" s="852"/>
      <c r="G4" s="853">
        <v>20</v>
      </c>
    </row>
    <row r="5" spans="1:7" ht="29.5" customHeight="1" thickBot="1">
      <c r="A5" s="847" t="s">
        <v>118</v>
      </c>
      <c r="B5" s="854" t="s">
        <v>573</v>
      </c>
      <c r="C5" s="849">
        <v>10</v>
      </c>
      <c r="D5" s="850"/>
      <c r="E5" s="851">
        <v>10</v>
      </c>
      <c r="F5" s="852"/>
      <c r="G5" s="853">
        <v>0</v>
      </c>
    </row>
    <row r="6" spans="1:7" s="161" customFormat="1" ht="50.25" customHeight="1" thickBot="1">
      <c r="A6" s="847" t="s">
        <v>574</v>
      </c>
      <c r="B6" s="855" t="s">
        <v>575</v>
      </c>
      <c r="C6" s="856" t="s">
        <v>576</v>
      </c>
      <c r="D6" s="850"/>
      <c r="E6" s="852"/>
      <c r="F6" s="430"/>
      <c r="G6" s="838">
        <v>10</v>
      </c>
    </row>
    <row r="7" spans="1:7" ht="30" customHeight="1" thickBot="1">
      <c r="A7" s="847" t="s">
        <v>577</v>
      </c>
      <c r="B7" s="857" t="s">
        <v>578</v>
      </c>
      <c r="C7" s="849" t="s">
        <v>212</v>
      </c>
      <c r="D7" s="858" t="s">
        <v>581</v>
      </c>
      <c r="E7" s="851">
        <v>0</v>
      </c>
      <c r="F7" s="430"/>
    </row>
    <row r="8" spans="1:7" ht="30.25" customHeight="1" thickBot="1">
      <c r="A8" s="859" t="s">
        <v>119</v>
      </c>
      <c r="B8" s="860" t="s">
        <v>579</v>
      </c>
      <c r="C8" s="861" t="s">
        <v>212</v>
      </c>
      <c r="D8" s="862" t="s">
        <v>581</v>
      </c>
      <c r="E8" s="851"/>
      <c r="F8" s="1068"/>
    </row>
    <row r="9" spans="1:7" ht="34.5" customHeight="1" thickBot="1">
      <c r="A9" s="1327" t="s">
        <v>20</v>
      </c>
      <c r="B9" s="1328"/>
      <c r="C9" s="863"/>
      <c r="D9" s="1332">
        <f>IF(SUM(D4:D6)&lt;=40,SUM(D4:D6),40)</f>
        <v>0</v>
      </c>
      <c r="E9" s="1333">
        <v>20</v>
      </c>
      <c r="F9" s="1069"/>
    </row>
    <row r="10" spans="1:7" ht="13" customHeight="1">
      <c r="A10" s="1329"/>
      <c r="B10" s="1329"/>
      <c r="C10" s="865"/>
    </row>
    <row r="11" spans="1:7" s="845" customFormat="1" ht="154.5" customHeight="1">
      <c r="A11" s="1330"/>
      <c r="B11" s="1331"/>
      <c r="C11" s="140"/>
      <c r="D11" s="1330"/>
      <c r="E11" s="1331" t="s">
        <v>580</v>
      </c>
      <c r="F11" s="839"/>
    </row>
    <row r="12" spans="1:7" ht="38.25" customHeight="1">
      <c r="E12" s="838" t="s">
        <v>581</v>
      </c>
    </row>
    <row r="13" spans="1:7" ht="25" customHeight="1"/>
    <row r="14" spans="1:7" s="864" customFormat="1" ht="32.25" customHeight="1">
      <c r="A14" s="838"/>
      <c r="B14" s="838"/>
      <c r="C14" s="838"/>
      <c r="D14" s="839"/>
      <c r="E14" s="838">
        <v>0</v>
      </c>
      <c r="F14" s="839"/>
    </row>
    <row r="15" spans="1:7" ht="14.25" customHeight="1">
      <c r="E15" s="838">
        <v>3</v>
      </c>
    </row>
    <row r="16" spans="1:7">
      <c r="E16" s="838">
        <v>10</v>
      </c>
    </row>
  </sheetData>
  <sheetProtection algorithmName="SHA-512" hashValue="y9nR0CLkSQs70bYCM/7xvIgvIHVKrs+1cNSUXfqlbiuzCPSpK9HxnNm4NGWMeuuKviKr910auMASFLLLHhdE/w==" saltValue="vRKZ8yFB9A7KOPjWOsb7qg==" spinCount="100000" sheet="1" selectLockedCells="1"/>
  <protectedRanges>
    <protectedRange sqref="D4:D8" name="Bereich2"/>
    <protectedRange sqref="E6 F4:F5 F7:F9" name="Bereich3"/>
  </protectedRanges>
  <mergeCells count="6">
    <mergeCell ref="A1:D1"/>
    <mergeCell ref="A9:B9"/>
    <mergeCell ref="A10:B10"/>
    <mergeCell ref="A11:B11"/>
    <mergeCell ref="D9:E9"/>
    <mergeCell ref="D11:E11"/>
  </mergeCells>
  <conditionalFormatting sqref="D7:D8">
    <cfRule type="beginsWith" dxfId="18" priority="1" operator="beginsWith" text="e">
      <formula>LEFT(D7,LEN("e"))="e"</formula>
    </cfRule>
  </conditionalFormatting>
  <dataValidations count="4">
    <dataValidation type="list" allowBlank="1" showInputMessage="1" showErrorMessage="1" sqref="D5" xr:uid="{F83D43DE-46C0-4227-A3AF-280BA298A1FA}">
      <formula1>$G$5:$G$6</formula1>
    </dataValidation>
    <dataValidation type="list" allowBlank="1" showInputMessage="1" showErrorMessage="1" sqref="D6" xr:uid="{01530D2B-D146-476D-A303-3F1572FBD26A}">
      <formula1>$E$14:$E$16</formula1>
    </dataValidation>
    <dataValidation type="list" allowBlank="1" showInputMessage="1" showErrorMessage="1" sqref="D7:D8" xr:uid="{478902F0-57C4-4325-AAE3-0E2999F9A110}">
      <formula1>$E$11:$E$12</formula1>
    </dataValidation>
    <dataValidation type="list" allowBlank="1" showInputMessage="1" showErrorMessage="1" sqref="D4" xr:uid="{33A8A9F8-37A4-4592-89F4-A6BFBD9EEF9B}">
      <formula1>G3:G4</formula1>
    </dataValidation>
  </dataValidations>
  <printOptions horizontalCentered="1"/>
  <pageMargins left="0.59055118110236227" right="0.59055118110236227" top="0.59055118110236227" bottom="0.59055118110236227" header="0.31496062992125984" footer="0.31496062992125984"/>
  <pageSetup paperSize="9" scale="77"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E4A109-23D7-41CD-9F63-3F5C7E3E6198}">
  <dimension ref="A1:I23"/>
  <sheetViews>
    <sheetView zoomScale="80" zoomScaleNormal="80" workbookViewId="0">
      <selection activeCell="H4" sqref="H4"/>
    </sheetView>
  </sheetViews>
  <sheetFormatPr baseColWidth="10" defaultColWidth="11.6328125" defaultRowHeight="12.5"/>
  <cols>
    <col min="1" max="1" width="26" style="297" customWidth="1"/>
    <col min="2" max="2" width="88.6328125" style="297" customWidth="1"/>
    <col min="3" max="3" width="17.54296875" style="297" customWidth="1"/>
    <col min="4" max="4" width="15.08984375" style="297" customWidth="1"/>
    <col min="5" max="7" width="11.36328125" style="297" hidden="1" customWidth="1"/>
    <col min="8" max="8" width="40.81640625" style="866" customWidth="1"/>
    <col min="9" max="16384" width="11.6328125" style="297"/>
  </cols>
  <sheetData>
    <row r="1" spans="1:9" ht="42" customHeight="1">
      <c r="A1" s="1172" t="s">
        <v>592</v>
      </c>
      <c r="B1" s="1172"/>
      <c r="C1" s="1172"/>
      <c r="D1" s="1172"/>
      <c r="E1" s="1172"/>
      <c r="F1" s="1172"/>
      <c r="G1" s="1172"/>
      <c r="H1" s="1172"/>
      <c r="I1" s="1172"/>
    </row>
    <row r="2" spans="1:9" ht="6.75" customHeight="1" thickBot="1"/>
    <row r="3" spans="1:9" ht="43.5" customHeight="1" thickBot="1">
      <c r="A3" s="875" t="s">
        <v>19</v>
      </c>
      <c r="B3" s="874" t="s">
        <v>107</v>
      </c>
      <c r="C3" s="873" t="s">
        <v>113</v>
      </c>
      <c r="D3" s="445" t="s">
        <v>21</v>
      </c>
      <c r="H3" s="727" t="s">
        <v>50</v>
      </c>
    </row>
    <row r="4" spans="1:9" ht="32.25" customHeight="1">
      <c r="A4" s="1337" t="s">
        <v>591</v>
      </c>
      <c r="B4" s="871" t="s">
        <v>590</v>
      </c>
      <c r="C4" s="870">
        <v>6</v>
      </c>
      <c r="D4" s="1334"/>
      <c r="E4" s="1340">
        <v>0</v>
      </c>
      <c r="F4" s="1340">
        <v>3</v>
      </c>
      <c r="G4" s="1341">
        <v>6</v>
      </c>
      <c r="H4" s="299"/>
    </row>
    <row r="5" spans="1:9" ht="32.25" customHeight="1">
      <c r="A5" s="1339"/>
      <c r="B5" s="872" t="s">
        <v>589</v>
      </c>
      <c r="C5" s="298">
        <v>3</v>
      </c>
      <c r="D5" s="1335"/>
      <c r="E5" s="1340"/>
      <c r="F5" s="1340"/>
      <c r="G5" s="1341"/>
      <c r="H5" s="299"/>
    </row>
    <row r="6" spans="1:9" ht="26.25" customHeight="1" thickBot="1">
      <c r="A6" s="1338"/>
      <c r="B6" s="869" t="s">
        <v>588</v>
      </c>
      <c r="C6" s="868" t="s">
        <v>128</v>
      </c>
      <c r="D6" s="1160"/>
      <c r="H6" s="299"/>
    </row>
    <row r="7" spans="1:9" ht="44.25" customHeight="1">
      <c r="A7" s="1337" t="s">
        <v>129</v>
      </c>
      <c r="B7" s="871" t="s">
        <v>587</v>
      </c>
      <c r="C7" s="870">
        <v>3</v>
      </c>
      <c r="D7" s="1342"/>
      <c r="E7" s="297">
        <v>0</v>
      </c>
      <c r="F7" s="297">
        <v>3</v>
      </c>
      <c r="H7" s="299"/>
    </row>
    <row r="8" spans="1:9" ht="26.25" customHeight="1" thickBot="1">
      <c r="A8" s="1339"/>
      <c r="B8" s="869" t="s">
        <v>586</v>
      </c>
      <c r="C8" s="868" t="s">
        <v>130</v>
      </c>
      <c r="D8" s="1343"/>
      <c r="H8" s="299"/>
    </row>
    <row r="9" spans="1:9" ht="44.25" customHeight="1">
      <c r="A9" s="1337" t="s">
        <v>585</v>
      </c>
      <c r="B9" s="871" t="s">
        <v>584</v>
      </c>
      <c r="C9" s="870">
        <v>2</v>
      </c>
      <c r="D9" s="1342"/>
      <c r="E9" s="297">
        <v>0</v>
      </c>
      <c r="F9" s="297">
        <v>2</v>
      </c>
      <c r="H9" s="299"/>
    </row>
    <row r="10" spans="1:9" ht="26.25" customHeight="1" thickBot="1">
      <c r="A10" s="1338"/>
      <c r="B10" s="869" t="s">
        <v>583</v>
      </c>
      <c r="C10" s="868" t="s">
        <v>131</v>
      </c>
      <c r="D10" s="1344"/>
      <c r="H10" s="299"/>
    </row>
    <row r="11" spans="1:9" ht="30.75" customHeight="1" thickBot="1">
      <c r="A11" s="761" t="s">
        <v>20</v>
      </c>
      <c r="B11" s="300"/>
      <c r="C11" s="300"/>
      <c r="D11" s="867">
        <f>IF(SUM(D4,D7,D9)&lt;10,SUM(D4,D7,D9),10)</f>
        <v>0</v>
      </c>
      <c r="H11" s="1336"/>
    </row>
    <row r="12" spans="1:9">
      <c r="A12" s="301"/>
      <c r="H12" s="1336"/>
    </row>
    <row r="13" spans="1:9">
      <c r="H13" s="308"/>
    </row>
    <row r="14" spans="1:9">
      <c r="H14" s="308"/>
    </row>
    <row r="15" spans="1:9">
      <c r="H15" s="308"/>
    </row>
    <row r="16" spans="1:9">
      <c r="H16" s="308"/>
    </row>
    <row r="17" spans="8:8">
      <c r="H17" s="308"/>
    </row>
    <row r="18" spans="8:8">
      <c r="H18" s="308"/>
    </row>
    <row r="19" spans="8:8">
      <c r="H19" s="308"/>
    </row>
    <row r="20" spans="8:8">
      <c r="H20" s="308"/>
    </row>
    <row r="21" spans="8:8">
      <c r="H21" s="308"/>
    </row>
    <row r="22" spans="8:8">
      <c r="H22" s="308"/>
    </row>
    <row r="23" spans="8:8" ht="15.5">
      <c r="H23" s="447"/>
    </row>
  </sheetData>
  <sheetProtection algorithmName="SHA-512" hashValue="d5LM52KxRyQLl7FbROThjVy3+VejtCydygN0j4+xOOR0e0z/uQLEnzMJiqQC8jygxiXELU6o0AA2LSX7CvJ4Fg==" saltValue="0gIxNnDYf2tbvecXPtUmlQ==" spinCount="100000" sheet="1" objects="1" scenarios="1"/>
  <protectedRanges>
    <protectedRange sqref="H4:H10" name="Bereich2"/>
    <protectedRange sqref="D7" name="Bereich3"/>
    <protectedRange sqref="D9" name="Bereich4"/>
    <protectedRange sqref="D4" name="Bereich5"/>
  </protectedRanges>
  <mergeCells count="11">
    <mergeCell ref="D4:D6"/>
    <mergeCell ref="H11:H12"/>
    <mergeCell ref="A1:I1"/>
    <mergeCell ref="A9:A10"/>
    <mergeCell ref="A4:A6"/>
    <mergeCell ref="A7:A8"/>
    <mergeCell ref="E4:E5"/>
    <mergeCell ref="F4:F5"/>
    <mergeCell ref="G4:G5"/>
    <mergeCell ref="D7:D8"/>
    <mergeCell ref="D9:D10"/>
  </mergeCells>
  <dataValidations count="3">
    <dataValidation type="list" allowBlank="1" showInputMessage="1" showErrorMessage="1" sqref="D4:D5" xr:uid="{00000000-0002-0000-0700-000004000000}">
      <formula1>$E$4:$G$4</formula1>
    </dataValidation>
    <dataValidation type="list" allowBlank="1" showInputMessage="1" showErrorMessage="1" sqref="D9" xr:uid="{00000000-0002-0000-0700-000001000000}">
      <formula1>$E$9:$F$9</formula1>
    </dataValidation>
    <dataValidation type="list" allowBlank="1" showInputMessage="1" showErrorMessage="1" sqref="D7" xr:uid="{00000000-0002-0000-0700-000000000000}">
      <formula1>$E$7:$F$7</formula1>
    </dataValidation>
  </dataValidations>
  <pageMargins left="0.7" right="0.7" top="0.78740157499999996" bottom="0.78740157499999996" header="0.3" footer="0.3"/>
  <pageSetup paperSize="9" orientation="portrait"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7AC878-04BB-4B6D-A8F9-0F6E83891DA8}">
  <sheetPr>
    <pageSetUpPr fitToPage="1"/>
  </sheetPr>
  <dimension ref="A1:E15"/>
  <sheetViews>
    <sheetView zoomScale="80" zoomScaleNormal="80" workbookViewId="0">
      <selection activeCell="C5" sqref="C5"/>
    </sheetView>
  </sheetViews>
  <sheetFormatPr baseColWidth="10" defaultColWidth="11.36328125" defaultRowHeight="12.5"/>
  <cols>
    <col min="1" max="1" width="40.36328125" style="161" customWidth="1"/>
    <col min="2" max="2" width="42.26953125" style="161" customWidth="1"/>
    <col min="3" max="3" width="10.26953125" style="161" customWidth="1"/>
    <col min="4" max="4" width="30.81640625" style="306" customWidth="1"/>
    <col min="5" max="5" width="13.36328125" style="161" hidden="1" customWidth="1"/>
    <col min="6" max="16384" width="11.36328125" style="161"/>
  </cols>
  <sheetData>
    <row r="1" spans="1:5" ht="40.5" customHeight="1">
      <c r="A1" s="1172" t="s">
        <v>598</v>
      </c>
      <c r="B1" s="1172"/>
      <c r="C1" s="1172"/>
    </row>
    <row r="2" spans="1:5" ht="7.5" customHeight="1" thickBot="1">
      <c r="A2" s="171"/>
      <c r="B2" s="171"/>
      <c r="C2" s="171"/>
    </row>
    <row r="3" spans="1:5" s="140" customFormat="1" ht="41.25" customHeight="1" thickBot="1">
      <c r="A3" s="876" t="s">
        <v>19</v>
      </c>
      <c r="B3" s="877" t="s">
        <v>132</v>
      </c>
      <c r="C3" s="878" t="s">
        <v>4</v>
      </c>
      <c r="D3" s="727" t="s">
        <v>593</v>
      </c>
    </row>
    <row r="4" spans="1:5" ht="40" customHeight="1">
      <c r="A4" s="879" t="s">
        <v>594</v>
      </c>
      <c r="B4" s="880">
        <v>5</v>
      </c>
      <c r="C4" s="881"/>
      <c r="D4" s="882"/>
      <c r="E4" s="161">
        <v>0</v>
      </c>
    </row>
    <row r="5" spans="1:5" ht="40" customHeight="1">
      <c r="A5" s="883" t="s">
        <v>595</v>
      </c>
      <c r="B5" s="302">
        <v>7</v>
      </c>
      <c r="C5" s="884"/>
      <c r="D5" s="885"/>
      <c r="E5" s="161">
        <v>5</v>
      </c>
    </row>
    <row r="6" spans="1:5" ht="30" customHeight="1" thickBot="1">
      <c r="A6" s="1345" t="s">
        <v>20</v>
      </c>
      <c r="B6" s="1346"/>
      <c r="C6" s="304">
        <f>IF(SUM(C4:C5)&gt;10,10,SUM(C4:C5))</f>
        <v>0</v>
      </c>
      <c r="D6" s="454"/>
      <c r="E6" s="161">
        <v>0</v>
      </c>
    </row>
    <row r="7" spans="1:5" ht="25" customHeight="1" thickBot="1">
      <c r="A7" s="1347"/>
      <c r="B7" s="1347"/>
      <c r="C7" s="305"/>
      <c r="E7" s="161">
        <v>7</v>
      </c>
    </row>
    <row r="8" spans="1:5" ht="25" customHeight="1">
      <c r="A8" s="1348" t="s">
        <v>596</v>
      </c>
      <c r="B8" s="1349"/>
    </row>
    <row r="9" spans="1:5" ht="20.5" customHeight="1">
      <c r="A9" s="886" t="s">
        <v>213</v>
      </c>
      <c r="B9" s="887"/>
      <c r="E9" s="297" t="s">
        <v>597</v>
      </c>
    </row>
    <row r="10" spans="1:5" ht="20.5" customHeight="1">
      <c r="A10" s="888" t="s">
        <v>216</v>
      </c>
      <c r="B10" s="648"/>
      <c r="E10" s="297" t="s">
        <v>214</v>
      </c>
    </row>
    <row r="11" spans="1:5" s="135" customFormat="1" ht="20.5" customHeight="1">
      <c r="A11" s="888" t="s">
        <v>217</v>
      </c>
      <c r="B11" s="648"/>
      <c r="C11" s="161"/>
      <c r="D11" s="306"/>
    </row>
    <row r="12" spans="1:5" ht="20.5" customHeight="1">
      <c r="A12" s="888" t="s">
        <v>218</v>
      </c>
      <c r="B12" s="648"/>
      <c r="E12" s="297">
        <v>5</v>
      </c>
    </row>
    <row r="13" spans="1:5" ht="20.5" customHeight="1">
      <c r="A13" s="888" t="s">
        <v>219</v>
      </c>
      <c r="B13" s="648"/>
      <c r="E13" s="297">
        <v>7</v>
      </c>
    </row>
    <row r="14" spans="1:5" ht="20.5" customHeight="1">
      <c r="A14" s="888" t="s">
        <v>220</v>
      </c>
      <c r="B14" s="648"/>
    </row>
    <row r="15" spans="1:5" ht="25.5" customHeight="1" thickBot="1">
      <c r="A15" s="889" t="s">
        <v>221</v>
      </c>
      <c r="B15" s="890">
        <f>IF(B9="Bewässerung/WCs",(B10*2*(B11*30+B12*10)+B13*40),B14*40)</f>
        <v>0</v>
      </c>
    </row>
  </sheetData>
  <sheetProtection algorithmName="SHA-512" hashValue="EWEsm9Hkuk0GSfkmCll9SienzYyqAntN4/xlz81vnzpL6FI/qRrE5b2CHkVVvDvKVTEoPI5tuk4/9u1VzygVRg==" saltValue="dSBcc4VoFUVBk/WhAGepTQ==" spinCount="100000" sheet="1" objects="1" scenarios="1"/>
  <protectedRanges>
    <protectedRange sqref="D4:D5" name="Bereich3"/>
    <protectedRange sqref="E4:E5 C4:C5" name="Bereich1"/>
    <protectedRange sqref="B9:B14" name="Bereich2"/>
  </protectedRanges>
  <mergeCells count="4">
    <mergeCell ref="A1:C1"/>
    <mergeCell ref="A6:B6"/>
    <mergeCell ref="A7:B7"/>
    <mergeCell ref="A8:B8"/>
  </mergeCells>
  <dataValidations count="4">
    <dataValidation type="list" allowBlank="1" showInputMessage="1" showErrorMessage="1" errorTitle="Falscher Wert!" error="Bitte geben Sie die Zahl 0 oder 1 ein." sqref="C5" xr:uid="{3B014001-CC93-4E1A-9467-29C4BBEF2306}">
      <formula1>$E$6:$E$7</formula1>
    </dataValidation>
    <dataValidation type="list" allowBlank="1" showInputMessage="1" showErrorMessage="1" errorTitle="Falscher Wert!" error="Bitte geben Sie die Zahl 0 oder 1 ein." sqref="C4" xr:uid="{66896387-4833-4D1A-8757-684709DE27D0}">
      <formula1>$E$4:$E$5</formula1>
    </dataValidation>
    <dataValidation type="list" allowBlank="1" showInputMessage="1" showErrorMessage="1" sqref="B10" xr:uid="{DC1D9CCC-18EA-4CFD-B652-2B924DD88BD7}">
      <formula1>$E$12:$E$13</formula1>
    </dataValidation>
    <dataValidation type="list" allowBlank="1" showInputMessage="1" showErrorMessage="1" sqref="B9" xr:uid="{2A501FA1-596C-40E6-8E28-BCAE9F274322}">
      <formula1>$E$9:$E$10</formula1>
    </dataValidation>
  </dataValidations>
  <printOptions horizontalCentered="1"/>
  <pageMargins left="0.59055118110236227" right="0.59055118110236227" top="0.59055118110236227" bottom="0.59055118110236227" header="0.31496062992125984" footer="0.31496062992125984"/>
  <pageSetup paperSize="9"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0">
    <pageSetUpPr fitToPage="1"/>
  </sheetPr>
  <dimension ref="A1:H156"/>
  <sheetViews>
    <sheetView showGridLines="0" zoomScale="80" zoomScaleNormal="80" workbookViewId="0">
      <pane ySplit="2" topLeftCell="A3" activePane="bottomLeft" state="frozen"/>
      <selection activeCell="B39" sqref="B39"/>
      <selection pane="bottomLeft" activeCell="G15" sqref="G15"/>
    </sheetView>
  </sheetViews>
  <sheetFormatPr baseColWidth="10" defaultColWidth="11.453125" defaultRowHeight="14.5"/>
  <cols>
    <col min="1" max="1" width="11.453125" style="154"/>
    <col min="2" max="2" width="51" style="154" bestFit="1" customWidth="1"/>
    <col min="3" max="4" width="11.453125" style="133"/>
    <col min="5" max="5" width="31.453125" style="142" customWidth="1"/>
    <col min="6" max="6" width="11.453125" style="142"/>
    <col min="7" max="7" width="65.7265625" style="151" customWidth="1"/>
    <col min="8" max="8" width="2.7265625" style="151" customWidth="1"/>
    <col min="9" max="16384" width="11.453125" style="151"/>
  </cols>
  <sheetData>
    <row r="1" spans="1:8" ht="15.5">
      <c r="A1" s="1172" t="s">
        <v>613</v>
      </c>
      <c r="B1" s="1172"/>
      <c r="C1" s="1172"/>
      <c r="H1" s="137"/>
    </row>
    <row r="2" spans="1:8" ht="15.5">
      <c r="A2" s="163"/>
      <c r="B2" s="163"/>
      <c r="C2" s="163"/>
      <c r="H2" s="137"/>
    </row>
    <row r="3" spans="1:8" ht="16" thickBot="1">
      <c r="A3" s="163"/>
      <c r="B3" s="163"/>
      <c r="C3" s="163"/>
      <c r="H3" s="137"/>
    </row>
    <row r="4" spans="1:8" ht="43" thickBot="1">
      <c r="A4" s="1354" t="s">
        <v>195</v>
      </c>
      <c r="B4" s="1355"/>
      <c r="C4" s="1356"/>
      <c r="D4" s="931"/>
      <c r="E4" s="932" t="s">
        <v>61</v>
      </c>
      <c r="F4" s="933"/>
      <c r="G4" s="149" t="s">
        <v>62</v>
      </c>
      <c r="H4" s="137"/>
    </row>
    <row r="5" spans="1:8">
      <c r="A5" s="1357" t="s">
        <v>63</v>
      </c>
      <c r="B5" s="1358"/>
      <c r="C5" s="927">
        <v>1.05</v>
      </c>
      <c r="D5" s="928"/>
      <c r="E5" s="929"/>
      <c r="F5" s="930"/>
      <c r="G5" s="431"/>
      <c r="H5" s="137"/>
    </row>
    <row r="6" spans="1:8">
      <c r="A6" s="247"/>
      <c r="B6" s="139" t="s">
        <v>600</v>
      </c>
      <c r="C6" s="248"/>
      <c r="D6" s="244">
        <v>1</v>
      </c>
      <c r="E6" s="96"/>
      <c r="F6" s="249">
        <f>E6*D6*$C$5</f>
        <v>0</v>
      </c>
      <c r="G6" s="432"/>
      <c r="H6" s="137"/>
    </row>
    <row r="7" spans="1:8">
      <c r="A7" s="250"/>
      <c r="B7" s="139" t="s">
        <v>64</v>
      </c>
      <c r="C7" s="251"/>
      <c r="D7" s="244">
        <v>0</v>
      </c>
      <c r="E7" s="96"/>
      <c r="F7" s="249">
        <f t="shared" ref="F7:F9" si="0">E7*D7*$C$5</f>
        <v>0</v>
      </c>
      <c r="G7" s="432"/>
      <c r="H7" s="137"/>
    </row>
    <row r="8" spans="1:8">
      <c r="A8" s="250"/>
      <c r="B8" s="139" t="s">
        <v>65</v>
      </c>
      <c r="C8" s="251"/>
      <c r="D8" s="244">
        <v>0</v>
      </c>
      <c r="E8" s="96"/>
      <c r="F8" s="249">
        <f t="shared" si="0"/>
        <v>0</v>
      </c>
      <c r="G8" s="432"/>
      <c r="H8" s="137"/>
    </row>
    <row r="9" spans="1:8">
      <c r="A9" s="252"/>
      <c r="B9" s="139" t="s">
        <v>66</v>
      </c>
      <c r="C9" s="253"/>
      <c r="D9" s="244">
        <v>0</v>
      </c>
      <c r="E9" s="96"/>
      <c r="F9" s="249">
        <f t="shared" si="0"/>
        <v>0</v>
      </c>
      <c r="G9" s="432"/>
      <c r="H9" s="137"/>
    </row>
    <row r="10" spans="1:8">
      <c r="A10" s="1359" t="s">
        <v>67</v>
      </c>
      <c r="B10" s="1360"/>
      <c r="C10" s="254">
        <v>1</v>
      </c>
      <c r="D10" s="255"/>
      <c r="E10" s="245"/>
      <c r="F10" s="246"/>
      <c r="G10" s="432"/>
      <c r="H10" s="137"/>
    </row>
    <row r="11" spans="1:8">
      <c r="A11" s="256"/>
      <c r="B11" s="153" t="s">
        <v>68</v>
      </c>
      <c r="C11" s="248"/>
      <c r="D11" s="244">
        <v>1</v>
      </c>
      <c r="E11" s="96"/>
      <c r="F11" s="249">
        <f>E11*D11*$C$10</f>
        <v>0</v>
      </c>
      <c r="G11" s="432"/>
      <c r="H11" s="137"/>
    </row>
    <row r="12" spans="1:8">
      <c r="A12" s="257"/>
      <c r="B12" s="153" t="s">
        <v>69</v>
      </c>
      <c r="C12" s="251"/>
      <c r="D12" s="244">
        <v>0</v>
      </c>
      <c r="E12" s="96"/>
      <c r="F12" s="249">
        <f t="shared" ref="F12:F15" si="1">E12*D12*$C$10</f>
        <v>0</v>
      </c>
      <c r="G12" s="432"/>
      <c r="H12" s="137"/>
    </row>
    <row r="13" spans="1:8">
      <c r="A13" s="257"/>
      <c r="B13" s="153" t="s">
        <v>70</v>
      </c>
      <c r="C13" s="251"/>
      <c r="D13" s="244">
        <v>0</v>
      </c>
      <c r="E13" s="96"/>
      <c r="F13" s="249">
        <f t="shared" si="1"/>
        <v>0</v>
      </c>
      <c r="G13" s="432"/>
      <c r="H13" s="137"/>
    </row>
    <row r="14" spans="1:8">
      <c r="A14" s="257"/>
      <c r="B14" s="153" t="s">
        <v>71</v>
      </c>
      <c r="C14" s="251"/>
      <c r="D14" s="244">
        <v>0</v>
      </c>
      <c r="E14" s="96"/>
      <c r="F14" s="249">
        <f t="shared" si="1"/>
        <v>0</v>
      </c>
      <c r="G14" s="432"/>
      <c r="H14" s="137"/>
    </row>
    <row r="15" spans="1:8">
      <c r="A15" s="258"/>
      <c r="B15" s="153" t="s">
        <v>72</v>
      </c>
      <c r="C15" s="253"/>
      <c r="D15" s="244">
        <v>0</v>
      </c>
      <c r="E15" s="96"/>
      <c r="F15" s="249">
        <f t="shared" si="1"/>
        <v>0</v>
      </c>
      <c r="G15" s="433"/>
      <c r="H15" s="137"/>
    </row>
    <row r="16" spans="1:8">
      <c r="A16" s="1359" t="s">
        <v>73</v>
      </c>
      <c r="B16" s="1360"/>
      <c r="C16" s="259">
        <v>1</v>
      </c>
      <c r="D16" s="260"/>
      <c r="E16" s="245"/>
      <c r="F16" s="246"/>
      <c r="G16" s="433"/>
      <c r="H16" s="137"/>
    </row>
    <row r="17" spans="1:8">
      <c r="A17" s="256"/>
      <c r="B17" s="153" t="s">
        <v>74</v>
      </c>
      <c r="C17" s="248"/>
      <c r="D17" s="244">
        <v>1</v>
      </c>
      <c r="E17" s="96"/>
      <c r="F17" s="249">
        <f>E17*D17*$C$16</f>
        <v>0</v>
      </c>
      <c r="G17" s="433"/>
      <c r="H17" s="137"/>
    </row>
    <row r="18" spans="1:8">
      <c r="A18" s="257"/>
      <c r="B18" s="153" t="s">
        <v>75</v>
      </c>
      <c r="C18" s="251"/>
      <c r="D18" s="244">
        <v>0</v>
      </c>
      <c r="E18" s="96"/>
      <c r="F18" s="249">
        <f t="shared" ref="F18:F34" si="2">E18*D18*$C$16</f>
        <v>0</v>
      </c>
      <c r="G18" s="433"/>
      <c r="H18" s="137"/>
    </row>
    <row r="19" spans="1:8">
      <c r="A19" s="257"/>
      <c r="B19" s="139" t="s">
        <v>76</v>
      </c>
      <c r="C19" s="251"/>
      <c r="D19" s="261">
        <v>0</v>
      </c>
      <c r="E19" s="96"/>
      <c r="F19" s="249">
        <f t="shared" si="2"/>
        <v>0</v>
      </c>
      <c r="G19" s="433"/>
      <c r="H19" s="137"/>
    </row>
    <row r="20" spans="1:8">
      <c r="A20" s="257"/>
      <c r="B20" s="156" t="s">
        <v>77</v>
      </c>
      <c r="C20" s="251"/>
      <c r="D20" s="261">
        <v>0</v>
      </c>
      <c r="E20" s="96"/>
      <c r="F20" s="249">
        <f t="shared" si="2"/>
        <v>0</v>
      </c>
      <c r="G20" s="433"/>
      <c r="H20" s="137"/>
    </row>
    <row r="21" spans="1:8">
      <c r="A21" s="257"/>
      <c r="B21" s="156" t="s">
        <v>78</v>
      </c>
      <c r="C21" s="251"/>
      <c r="D21" s="261">
        <v>0</v>
      </c>
      <c r="E21" s="96"/>
      <c r="F21" s="249">
        <f t="shared" si="2"/>
        <v>0</v>
      </c>
      <c r="G21" s="433"/>
      <c r="H21" s="137"/>
    </row>
    <row r="22" spans="1:8">
      <c r="A22" s="257"/>
      <c r="B22" s="156" t="s">
        <v>79</v>
      </c>
      <c r="C22" s="251"/>
      <c r="D22" s="261">
        <v>0</v>
      </c>
      <c r="E22" s="96"/>
      <c r="F22" s="249">
        <f t="shared" si="2"/>
        <v>0</v>
      </c>
      <c r="G22" s="433"/>
      <c r="H22" s="137"/>
    </row>
    <row r="23" spans="1:8">
      <c r="A23" s="257"/>
      <c r="B23" s="156" t="s">
        <v>80</v>
      </c>
      <c r="C23" s="251"/>
      <c r="D23" s="261">
        <v>0</v>
      </c>
      <c r="E23" s="96"/>
      <c r="F23" s="249">
        <f t="shared" si="2"/>
        <v>0</v>
      </c>
      <c r="G23" s="433"/>
      <c r="H23" s="137"/>
    </row>
    <row r="24" spans="1:8">
      <c r="A24" s="257"/>
      <c r="B24" s="156" t="s">
        <v>81</v>
      </c>
      <c r="C24" s="251"/>
      <c r="D24" s="261">
        <v>0</v>
      </c>
      <c r="E24" s="96"/>
      <c r="F24" s="249">
        <f t="shared" si="2"/>
        <v>0</v>
      </c>
      <c r="G24" s="433"/>
      <c r="H24" s="137"/>
    </row>
    <row r="25" spans="1:8">
      <c r="A25" s="257"/>
      <c r="B25" s="156" t="s">
        <v>82</v>
      </c>
      <c r="C25" s="251"/>
      <c r="D25" s="261">
        <v>0</v>
      </c>
      <c r="E25" s="96"/>
      <c r="F25" s="249">
        <f t="shared" si="2"/>
        <v>0</v>
      </c>
      <c r="G25" s="433"/>
      <c r="H25" s="137"/>
    </row>
    <row r="26" spans="1:8">
      <c r="A26" s="257"/>
      <c r="B26" s="156" t="s">
        <v>83</v>
      </c>
      <c r="C26" s="251"/>
      <c r="D26" s="261">
        <v>0</v>
      </c>
      <c r="E26" s="96"/>
      <c r="F26" s="249">
        <f t="shared" si="2"/>
        <v>0</v>
      </c>
      <c r="G26" s="433"/>
      <c r="H26" s="137"/>
    </row>
    <row r="27" spans="1:8">
      <c r="A27" s="257"/>
      <c r="B27" s="156" t="s">
        <v>84</v>
      </c>
      <c r="C27" s="251"/>
      <c r="D27" s="261">
        <v>0</v>
      </c>
      <c r="E27" s="96"/>
      <c r="F27" s="249">
        <f t="shared" si="2"/>
        <v>0</v>
      </c>
      <c r="G27" s="433"/>
      <c r="H27" s="137"/>
    </row>
    <row r="28" spans="1:8">
      <c r="A28" s="257"/>
      <c r="B28" s="156" t="s">
        <v>85</v>
      </c>
      <c r="C28" s="251"/>
      <c r="D28" s="261">
        <v>0</v>
      </c>
      <c r="E28" s="96"/>
      <c r="F28" s="249">
        <f t="shared" si="2"/>
        <v>0</v>
      </c>
      <c r="G28" s="433"/>
      <c r="H28" s="137"/>
    </row>
    <row r="29" spans="1:8">
      <c r="A29" s="257"/>
      <c r="B29" s="156" t="s">
        <v>86</v>
      </c>
      <c r="C29" s="251"/>
      <c r="D29" s="261">
        <v>0</v>
      </c>
      <c r="E29" s="96"/>
      <c r="F29" s="249">
        <f t="shared" si="2"/>
        <v>0</v>
      </c>
      <c r="G29" s="433"/>
      <c r="H29" s="137"/>
    </row>
    <row r="30" spans="1:8">
      <c r="A30" s="257"/>
      <c r="B30" s="156" t="s">
        <v>87</v>
      </c>
      <c r="C30" s="251"/>
      <c r="D30" s="261">
        <v>0</v>
      </c>
      <c r="E30" s="96"/>
      <c r="F30" s="249">
        <f t="shared" si="2"/>
        <v>0</v>
      </c>
      <c r="G30" s="433"/>
      <c r="H30" s="137"/>
    </row>
    <row r="31" spans="1:8">
      <c r="A31" s="257"/>
      <c r="B31" s="156" t="s">
        <v>88</v>
      </c>
      <c r="C31" s="251"/>
      <c r="D31" s="261">
        <v>0</v>
      </c>
      <c r="E31" s="96"/>
      <c r="F31" s="249">
        <f t="shared" si="2"/>
        <v>0</v>
      </c>
      <c r="G31" s="433"/>
      <c r="H31" s="137"/>
    </row>
    <row r="32" spans="1:8">
      <c r="A32" s="257"/>
      <c r="B32" s="156" t="s">
        <v>89</v>
      </c>
      <c r="C32" s="251"/>
      <c r="D32" s="261">
        <v>0</v>
      </c>
      <c r="E32" s="96"/>
      <c r="F32" s="249">
        <f t="shared" si="2"/>
        <v>0</v>
      </c>
      <c r="G32" s="433"/>
      <c r="H32" s="137"/>
    </row>
    <row r="33" spans="1:8">
      <c r="A33" s="257"/>
      <c r="B33" s="156" t="s">
        <v>90</v>
      </c>
      <c r="C33" s="251"/>
      <c r="D33" s="261">
        <v>0</v>
      </c>
      <c r="E33" s="96"/>
      <c r="F33" s="249">
        <f t="shared" si="2"/>
        <v>0</v>
      </c>
      <c r="G33" s="433"/>
      <c r="H33" s="137"/>
    </row>
    <row r="34" spans="1:8">
      <c r="A34" s="258"/>
      <c r="B34" s="153" t="s">
        <v>91</v>
      </c>
      <c r="C34" s="253"/>
      <c r="D34" s="244">
        <v>0</v>
      </c>
      <c r="E34" s="96"/>
      <c r="F34" s="249">
        <f t="shared" si="2"/>
        <v>0</v>
      </c>
      <c r="G34" s="433"/>
      <c r="H34" s="137"/>
    </row>
    <row r="35" spans="1:8">
      <c r="A35" s="1359" t="s">
        <v>92</v>
      </c>
      <c r="B35" s="1360"/>
      <c r="C35" s="254">
        <v>1</v>
      </c>
      <c r="D35" s="255"/>
      <c r="E35" s="245"/>
      <c r="F35" s="246"/>
      <c r="G35" s="433"/>
      <c r="H35" s="137"/>
    </row>
    <row r="36" spans="1:8">
      <c r="A36" s="256"/>
      <c r="B36" s="153" t="s">
        <v>93</v>
      </c>
      <c r="C36" s="248"/>
      <c r="D36" s="244">
        <v>1</v>
      </c>
      <c r="E36" s="96"/>
      <c r="F36" s="249">
        <f>E36*D36*$C$35</f>
        <v>0</v>
      </c>
      <c r="G36" s="433"/>
      <c r="H36" s="137"/>
    </row>
    <row r="37" spans="1:8">
      <c r="A37" s="258"/>
      <c r="B37" s="153" t="s">
        <v>94</v>
      </c>
      <c r="C37" s="253"/>
      <c r="D37" s="244">
        <v>0</v>
      </c>
      <c r="E37" s="96"/>
      <c r="F37" s="249">
        <f>E37*D37*$C$35</f>
        <v>0</v>
      </c>
      <c r="G37" s="433"/>
      <c r="H37" s="145"/>
    </row>
    <row r="38" spans="1:8" s="138" customFormat="1" ht="25" customHeight="1" thickBot="1">
      <c r="A38" s="1350" t="s">
        <v>20</v>
      </c>
      <c r="B38" s="1351"/>
      <c r="C38" s="222">
        <f>SUM(C5:C37)</f>
        <v>4.05</v>
      </c>
      <c r="D38" s="1352" t="s">
        <v>97</v>
      </c>
      <c r="E38" s="1353"/>
      <c r="F38" s="223">
        <f>IF((SUM(F6:F37))&lt;=5,ROUND(SUM(F6:F37)*340/5,0),340)</f>
        <v>0</v>
      </c>
      <c r="G38" s="225" t="str">
        <f>IF(F38&lt;295*0.25,"sehr geringer Erfüllungsgrad", IF(F38&lt;295*0.45,"geringer Erfüllungsgrad",IF(F38&lt;295*0.65,"mittlerer Erfüllungsgrad", IF(F38&lt;295*0.85,"hoher Erfüllungsgrad", IF(F38&gt;=295*0.85,"sehr hoher Erfüllungsgrad",)))))</f>
        <v>sehr geringer Erfüllungsgrad</v>
      </c>
      <c r="H38" s="224"/>
    </row>
    <row r="39" spans="1:8">
      <c r="G39" s="207"/>
      <c r="H39" s="137"/>
    </row>
    <row r="40" spans="1:8">
      <c r="G40" s="207"/>
      <c r="H40" s="137"/>
    </row>
    <row r="41" spans="1:8">
      <c r="G41" s="207"/>
      <c r="H41" s="137"/>
    </row>
    <row r="42" spans="1:8" ht="15" thickBot="1"/>
    <row r="43" spans="1:8" ht="43" thickBot="1">
      <c r="A43" s="1290" t="s">
        <v>205</v>
      </c>
      <c r="B43" s="1361"/>
      <c r="C43" s="1362"/>
      <c r="D43" s="931"/>
      <c r="E43" s="932" t="s">
        <v>61</v>
      </c>
      <c r="F43" s="933"/>
      <c r="G43" s="149" t="s">
        <v>62</v>
      </c>
      <c r="H43" s="137"/>
    </row>
    <row r="44" spans="1:8">
      <c r="A44" s="1357" t="s">
        <v>63</v>
      </c>
      <c r="B44" s="1358"/>
      <c r="C44" s="927">
        <v>1.05</v>
      </c>
      <c r="D44" s="928"/>
      <c r="E44" s="929"/>
      <c r="F44" s="930"/>
      <c r="G44" s="219"/>
      <c r="H44" s="137"/>
    </row>
    <row r="45" spans="1:8">
      <c r="A45" s="247"/>
      <c r="B45" s="139" t="s">
        <v>186</v>
      </c>
      <c r="C45" s="248"/>
      <c r="D45" s="244">
        <v>1</v>
      </c>
      <c r="E45" s="96"/>
      <c r="F45" s="249">
        <f>E45*D45*$C$44</f>
        <v>0</v>
      </c>
      <c r="G45" s="220"/>
      <c r="H45" s="137"/>
    </row>
    <row r="46" spans="1:8">
      <c r="A46" s="250"/>
      <c r="B46" s="139" t="s">
        <v>64</v>
      </c>
      <c r="C46" s="251"/>
      <c r="D46" s="244">
        <v>0</v>
      </c>
      <c r="E46" s="96"/>
      <c r="F46" s="249">
        <f>E46*D46*$C$44</f>
        <v>0</v>
      </c>
      <c r="G46" s="220"/>
      <c r="H46" s="137"/>
    </row>
    <row r="47" spans="1:8">
      <c r="A47" s="250"/>
      <c r="B47" s="139" t="s">
        <v>65</v>
      </c>
      <c r="C47" s="251"/>
      <c r="D47" s="244">
        <v>0</v>
      </c>
      <c r="E47" s="96"/>
      <c r="F47" s="249">
        <f t="shared" ref="F47:F48" si="3">E47*D47*$C$44</f>
        <v>0</v>
      </c>
      <c r="G47" s="220"/>
      <c r="H47" s="137"/>
    </row>
    <row r="48" spans="1:8">
      <c r="A48" s="252"/>
      <c r="B48" s="139" t="s">
        <v>66</v>
      </c>
      <c r="C48" s="253"/>
      <c r="D48" s="244">
        <v>0</v>
      </c>
      <c r="E48" s="96"/>
      <c r="F48" s="249">
        <f t="shared" si="3"/>
        <v>0</v>
      </c>
      <c r="G48" s="220"/>
      <c r="H48" s="137"/>
    </row>
    <row r="49" spans="1:8">
      <c r="A49" s="1359" t="s">
        <v>67</v>
      </c>
      <c r="B49" s="1360"/>
      <c r="C49" s="254">
        <v>0</v>
      </c>
      <c r="D49" s="255"/>
      <c r="E49" s="245"/>
      <c r="F49" s="246"/>
      <c r="G49" s="220"/>
      <c r="H49" s="137"/>
    </row>
    <row r="50" spans="1:8">
      <c r="A50" s="256"/>
      <c r="B50" s="153" t="s">
        <v>68</v>
      </c>
      <c r="C50" s="248"/>
      <c r="D50" s="244">
        <v>1</v>
      </c>
      <c r="E50" s="96"/>
      <c r="F50" s="249">
        <f>E50*D50*$C$49</f>
        <v>0</v>
      </c>
      <c r="G50" s="220"/>
      <c r="H50" s="137"/>
    </row>
    <row r="51" spans="1:8">
      <c r="A51" s="257"/>
      <c r="B51" s="153" t="s">
        <v>69</v>
      </c>
      <c r="C51" s="251"/>
      <c r="D51" s="244">
        <v>0</v>
      </c>
      <c r="E51" s="96"/>
      <c r="F51" s="249">
        <f t="shared" ref="F51:F54" si="4">E51*D51*$C$49</f>
        <v>0</v>
      </c>
      <c r="G51" s="220"/>
      <c r="H51" s="137"/>
    </row>
    <row r="52" spans="1:8">
      <c r="A52" s="257"/>
      <c r="B52" s="153" t="s">
        <v>70</v>
      </c>
      <c r="C52" s="251"/>
      <c r="D52" s="244">
        <v>0</v>
      </c>
      <c r="E52" s="96"/>
      <c r="F52" s="249">
        <f t="shared" si="4"/>
        <v>0</v>
      </c>
      <c r="G52" s="220"/>
      <c r="H52" s="137"/>
    </row>
    <row r="53" spans="1:8">
      <c r="A53" s="257"/>
      <c r="B53" s="153" t="s">
        <v>71</v>
      </c>
      <c r="C53" s="251"/>
      <c r="D53" s="244">
        <v>0</v>
      </c>
      <c r="E53" s="96"/>
      <c r="F53" s="249">
        <f t="shared" si="4"/>
        <v>0</v>
      </c>
      <c r="G53" s="220"/>
      <c r="H53" s="137"/>
    </row>
    <row r="54" spans="1:8">
      <c r="A54" s="258"/>
      <c r="B54" s="153" t="s">
        <v>72</v>
      </c>
      <c r="C54" s="253"/>
      <c r="D54" s="244">
        <v>0</v>
      </c>
      <c r="E54" s="96"/>
      <c r="F54" s="249">
        <f t="shared" si="4"/>
        <v>0</v>
      </c>
      <c r="G54" s="221"/>
      <c r="H54" s="137"/>
    </row>
    <row r="55" spans="1:8">
      <c r="A55" s="1359" t="s">
        <v>73</v>
      </c>
      <c r="B55" s="1360"/>
      <c r="C55" s="259">
        <v>0</v>
      </c>
      <c r="D55" s="260"/>
      <c r="E55" s="245"/>
      <c r="F55" s="246"/>
      <c r="G55" s="221"/>
      <c r="H55" s="137"/>
    </row>
    <row r="56" spans="1:8">
      <c r="A56" s="256"/>
      <c r="B56" s="153" t="s">
        <v>74</v>
      </c>
      <c r="C56" s="248"/>
      <c r="D56" s="244">
        <v>1</v>
      </c>
      <c r="E56" s="96"/>
      <c r="F56" s="249">
        <f>E56*D56*$C$55</f>
        <v>0</v>
      </c>
      <c r="G56" s="221"/>
      <c r="H56" s="137"/>
    </row>
    <row r="57" spans="1:8">
      <c r="A57" s="257"/>
      <c r="B57" s="153" t="s">
        <v>75</v>
      </c>
      <c r="C57" s="251"/>
      <c r="D57" s="244">
        <v>0</v>
      </c>
      <c r="E57" s="96"/>
      <c r="F57" s="249">
        <f t="shared" ref="F57:F73" si="5">E57*D57*$C$55</f>
        <v>0</v>
      </c>
      <c r="G57" s="221"/>
      <c r="H57" s="137"/>
    </row>
    <row r="58" spans="1:8">
      <c r="A58" s="257"/>
      <c r="B58" s="139" t="s">
        <v>76</v>
      </c>
      <c r="C58" s="251"/>
      <c r="D58" s="261">
        <v>0</v>
      </c>
      <c r="E58" s="96"/>
      <c r="F58" s="249">
        <f t="shared" si="5"/>
        <v>0</v>
      </c>
      <c r="G58" s="221"/>
      <c r="H58" s="137"/>
    </row>
    <row r="59" spans="1:8">
      <c r="A59" s="257"/>
      <c r="B59" s="156" t="s">
        <v>77</v>
      </c>
      <c r="C59" s="251"/>
      <c r="D59" s="261">
        <v>0</v>
      </c>
      <c r="E59" s="96"/>
      <c r="F59" s="249">
        <f t="shared" si="5"/>
        <v>0</v>
      </c>
      <c r="G59" s="221"/>
      <c r="H59" s="137"/>
    </row>
    <row r="60" spans="1:8">
      <c r="A60" s="257"/>
      <c r="B60" s="156" t="s">
        <v>78</v>
      </c>
      <c r="C60" s="251"/>
      <c r="D60" s="261">
        <v>0</v>
      </c>
      <c r="E60" s="96"/>
      <c r="F60" s="249">
        <f t="shared" si="5"/>
        <v>0</v>
      </c>
      <c r="G60" s="221"/>
      <c r="H60" s="137"/>
    </row>
    <row r="61" spans="1:8">
      <c r="A61" s="257"/>
      <c r="B61" s="156" t="s">
        <v>79</v>
      </c>
      <c r="C61" s="251"/>
      <c r="D61" s="261">
        <v>0</v>
      </c>
      <c r="E61" s="96"/>
      <c r="F61" s="249">
        <f t="shared" si="5"/>
        <v>0</v>
      </c>
      <c r="G61" s="221"/>
      <c r="H61" s="137"/>
    </row>
    <row r="62" spans="1:8">
      <c r="A62" s="257"/>
      <c r="B62" s="156" t="s">
        <v>80</v>
      </c>
      <c r="C62" s="251"/>
      <c r="D62" s="261">
        <v>0</v>
      </c>
      <c r="E62" s="96"/>
      <c r="F62" s="249">
        <f t="shared" si="5"/>
        <v>0</v>
      </c>
      <c r="G62" s="221"/>
      <c r="H62" s="137"/>
    </row>
    <row r="63" spans="1:8">
      <c r="A63" s="257"/>
      <c r="B63" s="156" t="s">
        <v>81</v>
      </c>
      <c r="C63" s="251"/>
      <c r="D63" s="261">
        <v>0</v>
      </c>
      <c r="E63" s="96"/>
      <c r="F63" s="249">
        <f t="shared" si="5"/>
        <v>0</v>
      </c>
      <c r="G63" s="221"/>
      <c r="H63" s="137"/>
    </row>
    <row r="64" spans="1:8">
      <c r="A64" s="257"/>
      <c r="B64" s="156" t="s">
        <v>82</v>
      </c>
      <c r="C64" s="251"/>
      <c r="D64" s="261">
        <v>0</v>
      </c>
      <c r="E64" s="96"/>
      <c r="F64" s="249">
        <f t="shared" si="5"/>
        <v>0</v>
      </c>
      <c r="G64" s="221"/>
      <c r="H64" s="137"/>
    </row>
    <row r="65" spans="1:8">
      <c r="A65" s="257"/>
      <c r="B65" s="156" t="s">
        <v>83</v>
      </c>
      <c r="C65" s="251"/>
      <c r="D65" s="261">
        <v>0</v>
      </c>
      <c r="E65" s="96"/>
      <c r="F65" s="249">
        <f t="shared" si="5"/>
        <v>0</v>
      </c>
      <c r="G65" s="221"/>
      <c r="H65" s="137"/>
    </row>
    <row r="66" spans="1:8">
      <c r="A66" s="257"/>
      <c r="B66" s="156" t="s">
        <v>84</v>
      </c>
      <c r="C66" s="251"/>
      <c r="D66" s="261">
        <v>0</v>
      </c>
      <c r="E66" s="96"/>
      <c r="F66" s="249">
        <f t="shared" si="5"/>
        <v>0</v>
      </c>
      <c r="G66" s="221"/>
      <c r="H66" s="137"/>
    </row>
    <row r="67" spans="1:8">
      <c r="A67" s="257"/>
      <c r="B67" s="156" t="s">
        <v>85</v>
      </c>
      <c r="C67" s="251"/>
      <c r="D67" s="261">
        <v>0</v>
      </c>
      <c r="E67" s="96"/>
      <c r="F67" s="249">
        <f t="shared" si="5"/>
        <v>0</v>
      </c>
      <c r="G67" s="221"/>
      <c r="H67" s="137"/>
    </row>
    <row r="68" spans="1:8">
      <c r="A68" s="257"/>
      <c r="B68" s="156" t="s">
        <v>86</v>
      </c>
      <c r="C68" s="251"/>
      <c r="D68" s="261">
        <v>0</v>
      </c>
      <c r="E68" s="96"/>
      <c r="F68" s="249">
        <f t="shared" si="5"/>
        <v>0</v>
      </c>
      <c r="G68" s="221"/>
      <c r="H68" s="137"/>
    </row>
    <row r="69" spans="1:8">
      <c r="A69" s="257"/>
      <c r="B69" s="156" t="s">
        <v>87</v>
      </c>
      <c r="C69" s="251"/>
      <c r="D69" s="261">
        <v>0</v>
      </c>
      <c r="E69" s="96"/>
      <c r="F69" s="249">
        <f t="shared" si="5"/>
        <v>0</v>
      </c>
      <c r="G69" s="221"/>
      <c r="H69" s="137"/>
    </row>
    <row r="70" spans="1:8">
      <c r="A70" s="257"/>
      <c r="B70" s="156" t="s">
        <v>88</v>
      </c>
      <c r="C70" s="251"/>
      <c r="D70" s="261">
        <v>0</v>
      </c>
      <c r="E70" s="96"/>
      <c r="F70" s="249">
        <f t="shared" si="5"/>
        <v>0</v>
      </c>
      <c r="G70" s="221"/>
      <c r="H70" s="137"/>
    </row>
    <row r="71" spans="1:8">
      <c r="A71" s="257"/>
      <c r="B71" s="156" t="s">
        <v>89</v>
      </c>
      <c r="C71" s="251"/>
      <c r="D71" s="261">
        <v>0</v>
      </c>
      <c r="E71" s="96"/>
      <c r="F71" s="249">
        <f t="shared" si="5"/>
        <v>0</v>
      </c>
      <c r="G71" s="221"/>
      <c r="H71" s="137"/>
    </row>
    <row r="72" spans="1:8">
      <c r="A72" s="257"/>
      <c r="B72" s="156" t="s">
        <v>90</v>
      </c>
      <c r="C72" s="251"/>
      <c r="D72" s="261">
        <v>0</v>
      </c>
      <c r="E72" s="96"/>
      <c r="F72" s="249">
        <f t="shared" si="5"/>
        <v>0</v>
      </c>
      <c r="G72" s="221"/>
      <c r="H72" s="137"/>
    </row>
    <row r="73" spans="1:8">
      <c r="A73" s="258"/>
      <c r="B73" s="153" t="s">
        <v>91</v>
      </c>
      <c r="C73" s="253"/>
      <c r="D73" s="244">
        <v>0</v>
      </c>
      <c r="E73" s="96"/>
      <c r="F73" s="249">
        <f t="shared" si="5"/>
        <v>0</v>
      </c>
      <c r="G73" s="221"/>
      <c r="H73" s="137"/>
    </row>
    <row r="74" spans="1:8">
      <c r="A74" s="1359" t="s">
        <v>92</v>
      </c>
      <c r="B74" s="1360"/>
      <c r="C74" s="254">
        <v>0</v>
      </c>
      <c r="D74" s="255"/>
      <c r="E74" s="245"/>
      <c r="F74" s="246"/>
      <c r="G74" s="221"/>
      <c r="H74" s="137"/>
    </row>
    <row r="75" spans="1:8">
      <c r="A75" s="256"/>
      <c r="B75" s="153" t="s">
        <v>93</v>
      </c>
      <c r="C75" s="248"/>
      <c r="D75" s="244">
        <v>1</v>
      </c>
      <c r="E75" s="96"/>
      <c r="F75" s="249">
        <f>E75*D75*$C$74</f>
        <v>0</v>
      </c>
      <c r="G75" s="221"/>
      <c r="H75" s="137"/>
    </row>
    <row r="76" spans="1:8">
      <c r="A76" s="258"/>
      <c r="B76" s="153" t="s">
        <v>94</v>
      </c>
      <c r="C76" s="253"/>
      <c r="D76" s="244">
        <v>0</v>
      </c>
      <c r="E76" s="96"/>
      <c r="F76" s="249">
        <f>E76*D76*$C$74</f>
        <v>0</v>
      </c>
      <c r="G76" s="221"/>
      <c r="H76" s="145"/>
    </row>
    <row r="77" spans="1:8" s="138" customFormat="1" ht="25" customHeight="1" thickBot="1">
      <c r="A77" s="1350" t="s">
        <v>20</v>
      </c>
      <c r="B77" s="1351"/>
      <c r="C77" s="222">
        <f>SUM(C44:C76)</f>
        <v>1.05</v>
      </c>
      <c r="D77" s="1352" t="s">
        <v>97</v>
      </c>
      <c r="E77" s="1353"/>
      <c r="F77" s="223">
        <f>IF((SUM(F45:F76))&lt;=5,ROUND(SUM(F45:F76)*300/5,0),300)</f>
        <v>0</v>
      </c>
      <c r="G77" s="225" t="str">
        <f>IF(F77&lt;295*0.25,"sehr geringer Erfüllungsgrad", IF(F77&lt;295*0.45,"geringer Erfüllungsgrad",IF(F77&lt;295*0.65,"mittlerer Erfüllungsgrad", IF(F77&lt;295*0.85,"hoher Erfüllungsgrad", IF(F77&gt;=295*0.85,"sehr hoher Erfüllungsgrad",)))))</f>
        <v>sehr geringer Erfüllungsgrad</v>
      </c>
      <c r="H77" s="224"/>
    </row>
    <row r="78" spans="1:8">
      <c r="A78" s="143"/>
      <c r="D78" s="136"/>
      <c r="E78" s="134"/>
      <c r="F78" s="134"/>
      <c r="H78" s="137"/>
    </row>
    <row r="79" spans="1:8">
      <c r="A79" s="143"/>
      <c r="H79" s="137"/>
    </row>
    <row r="80" spans="1:8">
      <c r="A80" s="143"/>
      <c r="H80" s="137"/>
    </row>
    <row r="81" spans="1:8" ht="15" thickBot="1">
      <c r="A81" s="143"/>
      <c r="D81" s="146"/>
      <c r="H81" s="137"/>
    </row>
    <row r="82" spans="1:8" ht="43" thickBot="1">
      <c r="A82" s="1290" t="s">
        <v>206</v>
      </c>
      <c r="B82" s="1361"/>
      <c r="C82" s="1362"/>
      <c r="D82" s="931"/>
      <c r="E82" s="932" t="s">
        <v>61</v>
      </c>
      <c r="F82" s="933"/>
      <c r="G82" s="149" t="s">
        <v>62</v>
      </c>
      <c r="H82" s="137"/>
    </row>
    <row r="83" spans="1:8">
      <c r="A83" s="1357" t="s">
        <v>63</v>
      </c>
      <c r="B83" s="1358"/>
      <c r="C83" s="927">
        <v>1.05</v>
      </c>
      <c r="D83" s="928"/>
      <c r="E83" s="929"/>
      <c r="F83" s="930"/>
      <c r="G83" s="221"/>
      <c r="H83" s="137"/>
    </row>
    <row r="84" spans="1:8">
      <c r="A84" s="247"/>
      <c r="B84" s="139" t="s">
        <v>186</v>
      </c>
      <c r="C84" s="248"/>
      <c r="D84" s="244">
        <v>1</v>
      </c>
      <c r="E84" s="96"/>
      <c r="F84" s="249">
        <f>E84*D84*$C$83</f>
        <v>0</v>
      </c>
      <c r="G84" s="220"/>
      <c r="H84" s="137"/>
    </row>
    <row r="85" spans="1:8">
      <c r="A85" s="250"/>
      <c r="B85" s="139" t="s">
        <v>64</v>
      </c>
      <c r="C85" s="251"/>
      <c r="D85" s="244">
        <v>0</v>
      </c>
      <c r="E85" s="96"/>
      <c r="F85" s="249">
        <f t="shared" ref="F85:F87" si="6">E85*D85*$C$83</f>
        <v>0</v>
      </c>
      <c r="G85" s="220"/>
      <c r="H85" s="137"/>
    </row>
    <row r="86" spans="1:8">
      <c r="A86" s="250"/>
      <c r="B86" s="139" t="s">
        <v>65</v>
      </c>
      <c r="C86" s="251"/>
      <c r="D86" s="244">
        <v>0</v>
      </c>
      <c r="E86" s="96"/>
      <c r="F86" s="249">
        <f t="shared" si="6"/>
        <v>0</v>
      </c>
      <c r="G86" s="220"/>
      <c r="H86" s="137"/>
    </row>
    <row r="87" spans="1:8">
      <c r="A87" s="252"/>
      <c r="B87" s="139" t="s">
        <v>66</v>
      </c>
      <c r="C87" s="253"/>
      <c r="D87" s="244">
        <v>0</v>
      </c>
      <c r="E87" s="96"/>
      <c r="F87" s="249">
        <f t="shared" si="6"/>
        <v>0</v>
      </c>
      <c r="G87" s="220"/>
      <c r="H87" s="137"/>
    </row>
    <row r="88" spans="1:8">
      <c r="A88" s="1359" t="s">
        <v>67</v>
      </c>
      <c r="B88" s="1360"/>
      <c r="C88" s="254">
        <v>0</v>
      </c>
      <c r="D88" s="255"/>
      <c r="E88" s="245"/>
      <c r="F88" s="246"/>
      <c r="G88" s="220"/>
      <c r="H88" s="137"/>
    </row>
    <row r="89" spans="1:8">
      <c r="A89" s="256"/>
      <c r="B89" s="153" t="s">
        <v>68</v>
      </c>
      <c r="C89" s="248"/>
      <c r="D89" s="244">
        <v>1</v>
      </c>
      <c r="E89" s="96"/>
      <c r="F89" s="249">
        <f>E89*D89*$C$88</f>
        <v>0</v>
      </c>
      <c r="G89" s="220"/>
      <c r="H89" s="137"/>
    </row>
    <row r="90" spans="1:8">
      <c r="A90" s="257"/>
      <c r="B90" s="153" t="s">
        <v>69</v>
      </c>
      <c r="C90" s="251"/>
      <c r="D90" s="244">
        <v>0</v>
      </c>
      <c r="E90" s="96"/>
      <c r="F90" s="249">
        <f t="shared" ref="F90:F93" si="7">E90*D90*$C$88</f>
        <v>0</v>
      </c>
      <c r="G90" s="220"/>
      <c r="H90" s="137"/>
    </row>
    <row r="91" spans="1:8">
      <c r="A91" s="257"/>
      <c r="B91" s="153" t="s">
        <v>70</v>
      </c>
      <c r="C91" s="251"/>
      <c r="D91" s="244">
        <v>0</v>
      </c>
      <c r="E91" s="96"/>
      <c r="F91" s="249">
        <f t="shared" si="7"/>
        <v>0</v>
      </c>
      <c r="G91" s="220"/>
      <c r="H91" s="137"/>
    </row>
    <row r="92" spans="1:8">
      <c r="A92" s="257"/>
      <c r="B92" s="153" t="s">
        <v>71</v>
      </c>
      <c r="C92" s="251"/>
      <c r="D92" s="244">
        <v>0</v>
      </c>
      <c r="E92" s="96"/>
      <c r="F92" s="249">
        <f t="shared" si="7"/>
        <v>0</v>
      </c>
      <c r="G92" s="220"/>
      <c r="H92" s="137"/>
    </row>
    <row r="93" spans="1:8">
      <c r="A93" s="258"/>
      <c r="B93" s="153" t="s">
        <v>72</v>
      </c>
      <c r="C93" s="253"/>
      <c r="D93" s="244">
        <v>0</v>
      </c>
      <c r="E93" s="96"/>
      <c r="F93" s="249">
        <f t="shared" si="7"/>
        <v>0</v>
      </c>
      <c r="G93" s="221"/>
      <c r="H93" s="137"/>
    </row>
    <row r="94" spans="1:8">
      <c r="A94" s="1359" t="s">
        <v>73</v>
      </c>
      <c r="B94" s="1360"/>
      <c r="C94" s="259">
        <v>0</v>
      </c>
      <c r="D94" s="260"/>
      <c r="E94" s="245"/>
      <c r="F94" s="246"/>
      <c r="G94" s="221"/>
      <c r="H94" s="137"/>
    </row>
    <row r="95" spans="1:8">
      <c r="A95" s="256"/>
      <c r="B95" s="153" t="s">
        <v>74</v>
      </c>
      <c r="C95" s="248"/>
      <c r="D95" s="244">
        <v>1</v>
      </c>
      <c r="E95" s="96"/>
      <c r="F95" s="249">
        <f>E95*D95*$C$94</f>
        <v>0</v>
      </c>
      <c r="G95" s="221"/>
      <c r="H95" s="137"/>
    </row>
    <row r="96" spans="1:8">
      <c r="A96" s="257"/>
      <c r="B96" s="153" t="s">
        <v>75</v>
      </c>
      <c r="C96" s="251"/>
      <c r="D96" s="244">
        <v>0</v>
      </c>
      <c r="E96" s="96"/>
      <c r="F96" s="249">
        <f t="shared" ref="F96:F112" si="8">E96*D96*$C$94</f>
        <v>0</v>
      </c>
      <c r="G96" s="221"/>
      <c r="H96" s="137"/>
    </row>
    <row r="97" spans="1:8">
      <c r="A97" s="257"/>
      <c r="B97" s="139" t="s">
        <v>76</v>
      </c>
      <c r="C97" s="251"/>
      <c r="D97" s="261">
        <v>0</v>
      </c>
      <c r="E97" s="96"/>
      <c r="F97" s="249">
        <f t="shared" si="8"/>
        <v>0</v>
      </c>
      <c r="G97" s="221"/>
      <c r="H97" s="137"/>
    </row>
    <row r="98" spans="1:8">
      <c r="A98" s="257"/>
      <c r="B98" s="156" t="s">
        <v>77</v>
      </c>
      <c r="C98" s="251"/>
      <c r="D98" s="261">
        <v>0</v>
      </c>
      <c r="E98" s="96"/>
      <c r="F98" s="249">
        <f t="shared" si="8"/>
        <v>0</v>
      </c>
      <c r="G98" s="221"/>
      <c r="H98" s="137"/>
    </row>
    <row r="99" spans="1:8">
      <c r="A99" s="257"/>
      <c r="B99" s="156" t="s">
        <v>78</v>
      </c>
      <c r="C99" s="251"/>
      <c r="D99" s="261">
        <v>0</v>
      </c>
      <c r="E99" s="96"/>
      <c r="F99" s="249">
        <f t="shared" si="8"/>
        <v>0</v>
      </c>
      <c r="G99" s="221"/>
      <c r="H99" s="137"/>
    </row>
    <row r="100" spans="1:8">
      <c r="A100" s="257"/>
      <c r="B100" s="156" t="s">
        <v>79</v>
      </c>
      <c r="C100" s="251"/>
      <c r="D100" s="261">
        <v>0</v>
      </c>
      <c r="E100" s="96"/>
      <c r="F100" s="249">
        <f t="shared" si="8"/>
        <v>0</v>
      </c>
      <c r="G100" s="221"/>
      <c r="H100" s="137"/>
    </row>
    <row r="101" spans="1:8">
      <c r="A101" s="257"/>
      <c r="B101" s="156" t="s">
        <v>80</v>
      </c>
      <c r="C101" s="251"/>
      <c r="D101" s="261">
        <v>0</v>
      </c>
      <c r="E101" s="96"/>
      <c r="F101" s="249">
        <f t="shared" si="8"/>
        <v>0</v>
      </c>
      <c r="G101" s="221"/>
      <c r="H101" s="137"/>
    </row>
    <row r="102" spans="1:8">
      <c r="A102" s="257"/>
      <c r="B102" s="156" t="s">
        <v>81</v>
      </c>
      <c r="C102" s="251"/>
      <c r="D102" s="261">
        <v>0</v>
      </c>
      <c r="E102" s="96"/>
      <c r="F102" s="249">
        <f t="shared" si="8"/>
        <v>0</v>
      </c>
      <c r="G102" s="221"/>
      <c r="H102" s="137"/>
    </row>
    <row r="103" spans="1:8">
      <c r="A103" s="257"/>
      <c r="B103" s="156" t="s">
        <v>82</v>
      </c>
      <c r="C103" s="251"/>
      <c r="D103" s="261">
        <v>0</v>
      </c>
      <c r="E103" s="96"/>
      <c r="F103" s="249">
        <f t="shared" si="8"/>
        <v>0</v>
      </c>
      <c r="G103" s="221"/>
      <c r="H103" s="137"/>
    </row>
    <row r="104" spans="1:8">
      <c r="A104" s="257"/>
      <c r="B104" s="156" t="s">
        <v>83</v>
      </c>
      <c r="C104" s="251"/>
      <c r="D104" s="261">
        <v>0</v>
      </c>
      <c r="E104" s="96"/>
      <c r="F104" s="249">
        <f t="shared" si="8"/>
        <v>0</v>
      </c>
      <c r="G104" s="221"/>
      <c r="H104" s="137"/>
    </row>
    <row r="105" spans="1:8">
      <c r="A105" s="257"/>
      <c r="B105" s="156" t="s">
        <v>84</v>
      </c>
      <c r="C105" s="251"/>
      <c r="D105" s="261">
        <v>0</v>
      </c>
      <c r="E105" s="96"/>
      <c r="F105" s="249">
        <f t="shared" si="8"/>
        <v>0</v>
      </c>
      <c r="G105" s="221"/>
      <c r="H105" s="137"/>
    </row>
    <row r="106" spans="1:8">
      <c r="A106" s="257"/>
      <c r="B106" s="156" t="s">
        <v>85</v>
      </c>
      <c r="C106" s="251"/>
      <c r="D106" s="261">
        <v>0</v>
      </c>
      <c r="E106" s="96"/>
      <c r="F106" s="249">
        <f t="shared" si="8"/>
        <v>0</v>
      </c>
      <c r="G106" s="221"/>
      <c r="H106" s="137"/>
    </row>
    <row r="107" spans="1:8">
      <c r="A107" s="257"/>
      <c r="B107" s="156" t="s">
        <v>86</v>
      </c>
      <c r="C107" s="251"/>
      <c r="D107" s="261">
        <v>0</v>
      </c>
      <c r="E107" s="96"/>
      <c r="F107" s="249">
        <f t="shared" si="8"/>
        <v>0</v>
      </c>
      <c r="G107" s="221"/>
      <c r="H107" s="137"/>
    </row>
    <row r="108" spans="1:8">
      <c r="A108" s="257"/>
      <c r="B108" s="156" t="s">
        <v>87</v>
      </c>
      <c r="C108" s="251"/>
      <c r="D108" s="261">
        <v>0</v>
      </c>
      <c r="E108" s="96"/>
      <c r="F108" s="249">
        <f t="shared" si="8"/>
        <v>0</v>
      </c>
      <c r="G108" s="221"/>
      <c r="H108" s="137"/>
    </row>
    <row r="109" spans="1:8">
      <c r="A109" s="257"/>
      <c r="B109" s="156" t="s">
        <v>88</v>
      </c>
      <c r="C109" s="251"/>
      <c r="D109" s="261">
        <v>0</v>
      </c>
      <c r="E109" s="96"/>
      <c r="F109" s="249">
        <f t="shared" si="8"/>
        <v>0</v>
      </c>
      <c r="G109" s="221"/>
      <c r="H109" s="137"/>
    </row>
    <row r="110" spans="1:8">
      <c r="A110" s="257"/>
      <c r="B110" s="156" t="s">
        <v>89</v>
      </c>
      <c r="C110" s="251"/>
      <c r="D110" s="261">
        <v>0</v>
      </c>
      <c r="E110" s="96"/>
      <c r="F110" s="249">
        <f t="shared" si="8"/>
        <v>0</v>
      </c>
      <c r="G110" s="221"/>
      <c r="H110" s="137"/>
    </row>
    <row r="111" spans="1:8">
      <c r="A111" s="257"/>
      <c r="B111" s="156" t="s">
        <v>90</v>
      </c>
      <c r="C111" s="251"/>
      <c r="D111" s="261">
        <v>0</v>
      </c>
      <c r="E111" s="96"/>
      <c r="F111" s="249">
        <f t="shared" si="8"/>
        <v>0</v>
      </c>
      <c r="G111" s="221"/>
      <c r="H111" s="137"/>
    </row>
    <row r="112" spans="1:8">
      <c r="A112" s="258"/>
      <c r="B112" s="153" t="s">
        <v>91</v>
      </c>
      <c r="C112" s="253"/>
      <c r="D112" s="244">
        <v>0</v>
      </c>
      <c r="E112" s="96"/>
      <c r="F112" s="249">
        <f t="shared" si="8"/>
        <v>0</v>
      </c>
      <c r="G112" s="221"/>
      <c r="H112" s="137"/>
    </row>
    <row r="113" spans="1:8">
      <c r="A113" s="1359" t="s">
        <v>92</v>
      </c>
      <c r="B113" s="1360"/>
      <c r="C113" s="254">
        <v>0</v>
      </c>
      <c r="D113" s="255"/>
      <c r="E113" s="245"/>
      <c r="F113" s="246"/>
      <c r="G113" s="221"/>
      <c r="H113" s="137"/>
    </row>
    <row r="114" spans="1:8">
      <c r="A114" s="256"/>
      <c r="B114" s="153" t="s">
        <v>93</v>
      </c>
      <c r="C114" s="248"/>
      <c r="D114" s="244">
        <v>1</v>
      </c>
      <c r="E114" s="96"/>
      <c r="F114" s="249">
        <f>E114*D114*$C$113</f>
        <v>0</v>
      </c>
      <c r="G114" s="221"/>
      <c r="H114" s="137"/>
    </row>
    <row r="115" spans="1:8">
      <c r="A115" s="258"/>
      <c r="B115" s="153" t="s">
        <v>94</v>
      </c>
      <c r="C115" s="253"/>
      <c r="D115" s="244">
        <v>0</v>
      </c>
      <c r="E115" s="96"/>
      <c r="F115" s="249">
        <f>E115*D115*$C$113</f>
        <v>0</v>
      </c>
      <c r="G115" s="221"/>
      <c r="H115" s="137"/>
    </row>
    <row r="116" spans="1:8" ht="25" customHeight="1" thickBot="1">
      <c r="A116" s="1363" t="s">
        <v>20</v>
      </c>
      <c r="B116" s="1364"/>
      <c r="C116" s="222">
        <f>SUM(C83:C115)</f>
        <v>1.05</v>
      </c>
      <c r="D116" s="1352" t="s">
        <v>97</v>
      </c>
      <c r="E116" s="1353"/>
      <c r="F116" s="223">
        <f>IF((SUM(F84:F115))&lt;=5,ROUND(SUM(F84:F115)*165/5,0),165)</f>
        <v>0</v>
      </c>
      <c r="G116" s="225" t="str">
        <f>IF(F116&lt;160*0.25,"sehr geringer Erfüllungsgrad", IF(F116&lt;160*0.45,"geringer Erfüllungsgrad",IF(F116&lt;160*0.65,"mittlerer Erfüllungsgrad", IF(F116&lt;160*0.85,"hoher Erfüllungsgrad", IF(F116&gt;=160*0.85,"sehr hoher Erfüllungsgrad",)))))</f>
        <v>sehr geringer Erfüllungsgrad</v>
      </c>
      <c r="H116" s="145"/>
    </row>
    <row r="117" spans="1:8">
      <c r="A117" s="143"/>
      <c r="H117" s="137"/>
    </row>
    <row r="118" spans="1:8">
      <c r="A118" s="143"/>
      <c r="H118" s="137"/>
    </row>
    <row r="119" spans="1:8">
      <c r="A119" s="143"/>
      <c r="H119" s="137"/>
    </row>
    <row r="120" spans="1:8" ht="15" thickBot="1">
      <c r="A120" s="143"/>
      <c r="H120" s="137"/>
    </row>
    <row r="121" spans="1:8" ht="43" thickBot="1">
      <c r="A121" s="1290" t="s">
        <v>95</v>
      </c>
      <c r="B121" s="1361"/>
      <c r="C121" s="1362"/>
      <c r="D121" s="931"/>
      <c r="E121" s="932" t="s">
        <v>61</v>
      </c>
      <c r="F121" s="933"/>
      <c r="G121" s="149" t="s">
        <v>62</v>
      </c>
      <c r="H121" s="137"/>
    </row>
    <row r="122" spans="1:8">
      <c r="A122" s="1357" t="s">
        <v>63</v>
      </c>
      <c r="B122" s="1358"/>
      <c r="C122" s="927">
        <v>1.05</v>
      </c>
      <c r="D122" s="928"/>
      <c r="E122" s="929"/>
      <c r="F122" s="930"/>
      <c r="G122" s="221"/>
      <c r="H122" s="137"/>
    </row>
    <row r="123" spans="1:8">
      <c r="A123" s="247"/>
      <c r="B123" s="139" t="s">
        <v>186</v>
      </c>
      <c r="C123" s="248"/>
      <c r="D123" s="244">
        <v>1</v>
      </c>
      <c r="E123" s="96"/>
      <c r="F123" s="249">
        <f>E123*D123*$C$122</f>
        <v>0</v>
      </c>
      <c r="G123" s="220"/>
      <c r="H123" s="137"/>
    </row>
    <row r="124" spans="1:8">
      <c r="A124" s="250"/>
      <c r="B124" s="139" t="s">
        <v>64</v>
      </c>
      <c r="C124" s="251"/>
      <c r="D124" s="244">
        <v>0</v>
      </c>
      <c r="E124" s="96"/>
      <c r="F124" s="249">
        <f t="shared" ref="F124:F126" si="9">E124*D124*$C$122</f>
        <v>0</v>
      </c>
      <c r="G124" s="220"/>
      <c r="H124" s="137"/>
    </row>
    <row r="125" spans="1:8">
      <c r="A125" s="250"/>
      <c r="B125" s="139" t="s">
        <v>65</v>
      </c>
      <c r="C125" s="251"/>
      <c r="D125" s="244">
        <v>0</v>
      </c>
      <c r="E125" s="96"/>
      <c r="F125" s="249">
        <f t="shared" si="9"/>
        <v>0</v>
      </c>
      <c r="G125" s="220"/>
      <c r="H125" s="137"/>
    </row>
    <row r="126" spans="1:8">
      <c r="A126" s="252"/>
      <c r="B126" s="139" t="s">
        <v>66</v>
      </c>
      <c r="C126" s="253"/>
      <c r="D126" s="244">
        <v>0</v>
      </c>
      <c r="E126" s="96"/>
      <c r="F126" s="249">
        <f t="shared" si="9"/>
        <v>0</v>
      </c>
      <c r="G126" s="220"/>
      <c r="H126" s="137"/>
    </row>
    <row r="127" spans="1:8">
      <c r="A127" s="1359" t="s">
        <v>67</v>
      </c>
      <c r="B127" s="1360"/>
      <c r="C127" s="254">
        <v>0</v>
      </c>
      <c r="D127" s="255"/>
      <c r="E127" s="245"/>
      <c r="F127" s="246"/>
      <c r="G127" s="220"/>
      <c r="H127" s="137"/>
    </row>
    <row r="128" spans="1:8">
      <c r="A128" s="256"/>
      <c r="B128" s="153" t="s">
        <v>68</v>
      </c>
      <c r="C128" s="248"/>
      <c r="D128" s="244">
        <v>1</v>
      </c>
      <c r="E128" s="96"/>
      <c r="F128" s="249">
        <f>E128*D128*$C$127</f>
        <v>0</v>
      </c>
      <c r="G128" s="220"/>
      <c r="H128" s="137"/>
    </row>
    <row r="129" spans="1:8">
      <c r="A129" s="257"/>
      <c r="B129" s="153" t="s">
        <v>69</v>
      </c>
      <c r="C129" s="251"/>
      <c r="D129" s="244">
        <v>0</v>
      </c>
      <c r="E129" s="96"/>
      <c r="F129" s="249">
        <f t="shared" ref="F129:F132" si="10">E129*D129*$C$127</f>
        <v>0</v>
      </c>
      <c r="G129" s="220"/>
      <c r="H129" s="137"/>
    </row>
    <row r="130" spans="1:8">
      <c r="A130" s="257"/>
      <c r="B130" s="153" t="s">
        <v>70</v>
      </c>
      <c r="C130" s="251"/>
      <c r="D130" s="244">
        <v>0</v>
      </c>
      <c r="E130" s="96"/>
      <c r="F130" s="249">
        <f t="shared" si="10"/>
        <v>0</v>
      </c>
      <c r="G130" s="220"/>
      <c r="H130" s="137"/>
    </row>
    <row r="131" spans="1:8">
      <c r="A131" s="257"/>
      <c r="B131" s="153" t="s">
        <v>71</v>
      </c>
      <c r="C131" s="251"/>
      <c r="D131" s="244">
        <v>0</v>
      </c>
      <c r="E131" s="96"/>
      <c r="F131" s="249">
        <f t="shared" si="10"/>
        <v>0</v>
      </c>
      <c r="G131" s="220"/>
      <c r="H131" s="137"/>
    </row>
    <row r="132" spans="1:8">
      <c r="A132" s="258"/>
      <c r="B132" s="153" t="s">
        <v>72</v>
      </c>
      <c r="C132" s="253"/>
      <c r="D132" s="244">
        <v>0</v>
      </c>
      <c r="E132" s="96"/>
      <c r="F132" s="249">
        <f t="shared" si="10"/>
        <v>0</v>
      </c>
      <c r="G132" s="221"/>
      <c r="H132" s="137"/>
    </row>
    <row r="133" spans="1:8">
      <c r="A133" s="1359" t="s">
        <v>73</v>
      </c>
      <c r="B133" s="1360"/>
      <c r="C133" s="259">
        <v>0</v>
      </c>
      <c r="D133" s="260"/>
      <c r="E133" s="245"/>
      <c r="F133" s="246"/>
      <c r="G133" s="221"/>
      <c r="H133" s="137"/>
    </row>
    <row r="134" spans="1:8">
      <c r="A134" s="256"/>
      <c r="B134" s="153" t="s">
        <v>74</v>
      </c>
      <c r="C134" s="248"/>
      <c r="D134" s="244">
        <v>1</v>
      </c>
      <c r="E134" s="96"/>
      <c r="F134" s="249">
        <f>E134*D134*$C$133</f>
        <v>0</v>
      </c>
      <c r="G134" s="221"/>
      <c r="H134" s="137"/>
    </row>
    <row r="135" spans="1:8">
      <c r="A135" s="257"/>
      <c r="B135" s="153" t="s">
        <v>75</v>
      </c>
      <c r="C135" s="251"/>
      <c r="D135" s="244">
        <v>0</v>
      </c>
      <c r="E135" s="96"/>
      <c r="F135" s="249">
        <f t="shared" ref="F135:F151" si="11">E135*D135*$C$133</f>
        <v>0</v>
      </c>
      <c r="G135" s="221"/>
      <c r="H135" s="137"/>
    </row>
    <row r="136" spans="1:8">
      <c r="A136" s="257"/>
      <c r="B136" s="139" t="s">
        <v>76</v>
      </c>
      <c r="C136" s="251"/>
      <c r="D136" s="261">
        <v>0</v>
      </c>
      <c r="E136" s="96"/>
      <c r="F136" s="249">
        <f t="shared" si="11"/>
        <v>0</v>
      </c>
      <c r="G136" s="221"/>
      <c r="H136" s="137"/>
    </row>
    <row r="137" spans="1:8">
      <c r="A137" s="257"/>
      <c r="B137" s="156" t="s">
        <v>77</v>
      </c>
      <c r="C137" s="251"/>
      <c r="D137" s="261">
        <v>0</v>
      </c>
      <c r="E137" s="96"/>
      <c r="F137" s="249">
        <f t="shared" si="11"/>
        <v>0</v>
      </c>
      <c r="G137" s="221"/>
      <c r="H137" s="137"/>
    </row>
    <row r="138" spans="1:8">
      <c r="A138" s="257"/>
      <c r="B138" s="156" t="s">
        <v>78</v>
      </c>
      <c r="C138" s="251"/>
      <c r="D138" s="261">
        <v>0</v>
      </c>
      <c r="E138" s="96"/>
      <c r="F138" s="249">
        <f t="shared" si="11"/>
        <v>0</v>
      </c>
      <c r="G138" s="221"/>
      <c r="H138" s="137"/>
    </row>
    <row r="139" spans="1:8">
      <c r="A139" s="257"/>
      <c r="B139" s="156" t="s">
        <v>79</v>
      </c>
      <c r="C139" s="251"/>
      <c r="D139" s="261">
        <v>0</v>
      </c>
      <c r="E139" s="96"/>
      <c r="F139" s="249">
        <f t="shared" si="11"/>
        <v>0</v>
      </c>
      <c r="G139" s="221"/>
      <c r="H139" s="137"/>
    </row>
    <row r="140" spans="1:8">
      <c r="A140" s="257"/>
      <c r="B140" s="156" t="s">
        <v>80</v>
      </c>
      <c r="C140" s="251"/>
      <c r="D140" s="261">
        <v>0</v>
      </c>
      <c r="E140" s="96"/>
      <c r="F140" s="249">
        <f t="shared" si="11"/>
        <v>0</v>
      </c>
      <c r="G140" s="221"/>
      <c r="H140" s="137"/>
    </row>
    <row r="141" spans="1:8">
      <c r="A141" s="257"/>
      <c r="B141" s="156" t="s">
        <v>81</v>
      </c>
      <c r="C141" s="251"/>
      <c r="D141" s="261">
        <v>0</v>
      </c>
      <c r="E141" s="96"/>
      <c r="F141" s="249">
        <f t="shared" si="11"/>
        <v>0</v>
      </c>
      <c r="G141" s="221"/>
      <c r="H141" s="137"/>
    </row>
    <row r="142" spans="1:8">
      <c r="A142" s="257"/>
      <c r="B142" s="156" t="s">
        <v>82</v>
      </c>
      <c r="C142" s="251"/>
      <c r="D142" s="261">
        <v>0</v>
      </c>
      <c r="E142" s="96"/>
      <c r="F142" s="249">
        <f t="shared" si="11"/>
        <v>0</v>
      </c>
      <c r="G142" s="221"/>
      <c r="H142" s="137"/>
    </row>
    <row r="143" spans="1:8">
      <c r="A143" s="257"/>
      <c r="B143" s="156" t="s">
        <v>83</v>
      </c>
      <c r="C143" s="251"/>
      <c r="D143" s="261">
        <v>0</v>
      </c>
      <c r="E143" s="96"/>
      <c r="F143" s="249">
        <f t="shared" si="11"/>
        <v>0</v>
      </c>
      <c r="G143" s="221"/>
      <c r="H143" s="137"/>
    </row>
    <row r="144" spans="1:8">
      <c r="A144" s="257"/>
      <c r="B144" s="156" t="s">
        <v>84</v>
      </c>
      <c r="C144" s="251"/>
      <c r="D144" s="261">
        <v>0</v>
      </c>
      <c r="E144" s="96"/>
      <c r="F144" s="249">
        <f t="shared" si="11"/>
        <v>0</v>
      </c>
      <c r="G144" s="221"/>
      <c r="H144" s="137"/>
    </row>
    <row r="145" spans="1:8">
      <c r="A145" s="257"/>
      <c r="B145" s="156" t="s">
        <v>85</v>
      </c>
      <c r="C145" s="251"/>
      <c r="D145" s="261">
        <v>0</v>
      </c>
      <c r="E145" s="96"/>
      <c r="F145" s="249">
        <f t="shared" si="11"/>
        <v>0</v>
      </c>
      <c r="G145" s="221"/>
      <c r="H145" s="137"/>
    </row>
    <row r="146" spans="1:8">
      <c r="A146" s="257"/>
      <c r="B146" s="156" t="s">
        <v>86</v>
      </c>
      <c r="C146" s="251"/>
      <c r="D146" s="261">
        <v>0</v>
      </c>
      <c r="E146" s="96"/>
      <c r="F146" s="249">
        <f t="shared" si="11"/>
        <v>0</v>
      </c>
      <c r="G146" s="221"/>
      <c r="H146" s="137"/>
    </row>
    <row r="147" spans="1:8">
      <c r="A147" s="257"/>
      <c r="B147" s="156" t="s">
        <v>87</v>
      </c>
      <c r="C147" s="251"/>
      <c r="D147" s="261">
        <v>0</v>
      </c>
      <c r="E147" s="96"/>
      <c r="F147" s="249">
        <f t="shared" si="11"/>
        <v>0</v>
      </c>
      <c r="G147" s="221"/>
      <c r="H147" s="137"/>
    </row>
    <row r="148" spans="1:8">
      <c r="A148" s="257"/>
      <c r="B148" s="156" t="s">
        <v>88</v>
      </c>
      <c r="C148" s="251"/>
      <c r="D148" s="261">
        <v>0</v>
      </c>
      <c r="E148" s="96"/>
      <c r="F148" s="249">
        <f t="shared" si="11"/>
        <v>0</v>
      </c>
      <c r="G148" s="221"/>
      <c r="H148" s="137"/>
    </row>
    <row r="149" spans="1:8">
      <c r="A149" s="257"/>
      <c r="B149" s="156" t="s">
        <v>89</v>
      </c>
      <c r="C149" s="251"/>
      <c r="D149" s="261">
        <v>0</v>
      </c>
      <c r="E149" s="96"/>
      <c r="F149" s="249">
        <f t="shared" si="11"/>
        <v>0</v>
      </c>
      <c r="G149" s="221"/>
      <c r="H149" s="137"/>
    </row>
    <row r="150" spans="1:8">
      <c r="A150" s="257"/>
      <c r="B150" s="156" t="s">
        <v>90</v>
      </c>
      <c r="C150" s="251"/>
      <c r="D150" s="261">
        <v>0</v>
      </c>
      <c r="E150" s="96"/>
      <c r="F150" s="249">
        <f t="shared" si="11"/>
        <v>0</v>
      </c>
      <c r="G150" s="221"/>
      <c r="H150" s="137"/>
    </row>
    <row r="151" spans="1:8">
      <c r="A151" s="258"/>
      <c r="B151" s="153" t="s">
        <v>91</v>
      </c>
      <c r="C151" s="253"/>
      <c r="D151" s="244">
        <v>0</v>
      </c>
      <c r="E151" s="96"/>
      <c r="F151" s="249">
        <f t="shared" si="11"/>
        <v>0</v>
      </c>
      <c r="G151" s="221"/>
      <c r="H151" s="137"/>
    </row>
    <row r="152" spans="1:8">
      <c r="A152" s="1359" t="s">
        <v>92</v>
      </c>
      <c r="B152" s="1360"/>
      <c r="C152" s="254">
        <v>0</v>
      </c>
      <c r="D152" s="255"/>
      <c r="E152" s="245"/>
      <c r="F152" s="246"/>
      <c r="G152" s="221"/>
      <c r="H152" s="137"/>
    </row>
    <row r="153" spans="1:8">
      <c r="A153" s="256"/>
      <c r="B153" s="153" t="s">
        <v>93</v>
      </c>
      <c r="C153" s="248"/>
      <c r="D153" s="244">
        <v>1</v>
      </c>
      <c r="E153" s="96"/>
      <c r="F153" s="249">
        <f>E153*D153*$C$152</f>
        <v>0</v>
      </c>
      <c r="G153" s="221"/>
      <c r="H153" s="137"/>
    </row>
    <row r="154" spans="1:8">
      <c r="A154" s="258"/>
      <c r="B154" s="153" t="s">
        <v>94</v>
      </c>
      <c r="C154" s="253"/>
      <c r="D154" s="244">
        <v>0</v>
      </c>
      <c r="E154" s="96"/>
      <c r="F154" s="249">
        <f>E154*D154*$C$152</f>
        <v>0</v>
      </c>
      <c r="G154" s="221"/>
      <c r="H154" s="137"/>
    </row>
    <row r="155" spans="1:8" ht="25" customHeight="1" thickBot="1">
      <c r="A155" s="1363" t="s">
        <v>20</v>
      </c>
      <c r="B155" s="1364"/>
      <c r="C155" s="222">
        <f>SUM(C122:C154)</f>
        <v>1.05</v>
      </c>
      <c r="D155" s="1352" t="s">
        <v>97</v>
      </c>
      <c r="E155" s="1353"/>
      <c r="F155" s="223">
        <f>IF((SUM(F123:F154))&lt;=5,ROUND(SUM(F123:F154)*120/5,0),120)</f>
        <v>0</v>
      </c>
      <c r="G155" s="225" t="str">
        <f>IF(F155&lt;110*0.25,"sehr geringer Erfüllungsgrad", IF(F155&lt;110*0.45,"geringer Erfüllungsgrad",IF(F155&lt;110*0.65,"mittlerer Erfüllungsgrad", IF(F155&lt;110*0.85,"hoher Erfüllungsgrad", IF(F155&gt;=110*0.85,"sehr hoher Erfüllungsgrad",)))))</f>
        <v>sehr geringer Erfüllungsgrad</v>
      </c>
      <c r="H155" s="137"/>
    </row>
    <row r="156" spans="1:8" ht="15" thickBot="1">
      <c r="A156" s="155"/>
      <c r="B156" s="132"/>
      <c r="C156" s="146"/>
      <c r="D156" s="146"/>
      <c r="E156" s="147"/>
      <c r="F156" s="147"/>
      <c r="G156" s="148"/>
      <c r="H156" s="144"/>
    </row>
  </sheetData>
  <sheetProtection selectLockedCells="1"/>
  <mergeCells count="29">
    <mergeCell ref="A155:B155"/>
    <mergeCell ref="A127:B127"/>
    <mergeCell ref="A133:B133"/>
    <mergeCell ref="A152:B152"/>
    <mergeCell ref="A77:B77"/>
    <mergeCell ref="A116:B116"/>
    <mergeCell ref="A1:C1"/>
    <mergeCell ref="D77:E77"/>
    <mergeCell ref="D116:E116"/>
    <mergeCell ref="D155:E155"/>
    <mergeCell ref="A43:C43"/>
    <mergeCell ref="A82:C82"/>
    <mergeCell ref="A121:C121"/>
    <mergeCell ref="A44:B44"/>
    <mergeCell ref="A49:B49"/>
    <mergeCell ref="A55:B55"/>
    <mergeCell ref="A74:B74"/>
    <mergeCell ref="A83:B83"/>
    <mergeCell ref="A88:B88"/>
    <mergeCell ref="A94:B94"/>
    <mergeCell ref="A113:B113"/>
    <mergeCell ref="A122:B122"/>
    <mergeCell ref="A38:B38"/>
    <mergeCell ref="D38:E38"/>
    <mergeCell ref="A4:C4"/>
    <mergeCell ref="A5:B5"/>
    <mergeCell ref="A10:B10"/>
    <mergeCell ref="A16:B16"/>
    <mergeCell ref="A35:B35"/>
  </mergeCells>
  <printOptions horizontalCentered="1"/>
  <pageMargins left="0.59055118110236227" right="0.59055118110236227" top="0.59055118110236227" bottom="0.59055118110236227" header="0.31496062992125984" footer="0.31496062992125984"/>
  <pageSetup paperSize="9" scale="7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350A64-D01F-4E9B-BADF-D64CC57AC330}">
  <sheetPr codeName="Tabelle8">
    <pageSetUpPr fitToPage="1"/>
  </sheetPr>
  <dimension ref="A1:I33"/>
  <sheetViews>
    <sheetView showGridLines="0" zoomScaleNormal="100" workbookViewId="0">
      <selection activeCell="B9" sqref="B9"/>
    </sheetView>
  </sheetViews>
  <sheetFormatPr baseColWidth="10" defaultColWidth="11.453125" defaultRowHeight="14"/>
  <cols>
    <col min="1" max="1" width="55.81640625" style="388" customWidth="1"/>
    <col min="2" max="2" width="29.54296875" style="388" customWidth="1"/>
    <col min="3" max="3" width="13.81640625" style="388" customWidth="1"/>
    <col min="4" max="4" width="30.7265625" style="388" customWidth="1"/>
    <col min="5" max="5" width="12.1796875" style="388" customWidth="1"/>
    <col min="6" max="6" width="32.54296875" style="388" customWidth="1"/>
    <col min="7" max="7" width="40.7265625" style="388" customWidth="1"/>
    <col min="8" max="8" width="37.26953125" style="388" customWidth="1"/>
    <col min="9" max="9" width="12.1796875" style="388" customWidth="1"/>
    <col min="10" max="10" width="5.7265625" style="388" customWidth="1"/>
    <col min="11" max="11" width="30.7265625" style="388" customWidth="1"/>
    <col min="12" max="16384" width="11.453125" style="388"/>
  </cols>
  <sheetData>
    <row r="1" spans="1:9" s="327" customFormat="1" ht="49.5" customHeight="1" thickBot="1">
      <c r="A1" s="1365" t="s">
        <v>182</v>
      </c>
      <c r="B1" s="1366"/>
      <c r="C1" s="1366"/>
      <c r="D1" s="1366"/>
      <c r="F1" s="1367" t="s">
        <v>185</v>
      </c>
      <c r="G1" s="1368"/>
      <c r="H1" s="1369"/>
    </row>
    <row r="2" spans="1:9" s="327" customFormat="1" ht="7.5" customHeight="1" thickBot="1">
      <c r="A2" s="328"/>
      <c r="B2" s="329"/>
      <c r="C2" s="330"/>
      <c r="D2" s="331"/>
    </row>
    <row r="3" spans="1:9" s="327" customFormat="1" ht="25" customHeight="1">
      <c r="A3" s="332" t="s">
        <v>181</v>
      </c>
      <c r="B3" s="333" t="s">
        <v>42</v>
      </c>
      <c r="C3" s="334"/>
      <c r="D3" s="335" t="s">
        <v>50</v>
      </c>
      <c r="F3" s="1370" t="s">
        <v>183</v>
      </c>
      <c r="G3" s="1371"/>
      <c r="H3" s="1372"/>
      <c r="I3" s="336" t="s">
        <v>50</v>
      </c>
    </row>
    <row r="4" spans="1:9" s="341" customFormat="1" ht="25" customHeight="1">
      <c r="A4" s="337" t="s">
        <v>159</v>
      </c>
      <c r="B4" s="338"/>
      <c r="C4" s="339" t="s">
        <v>160</v>
      </c>
      <c r="D4" s="340"/>
      <c r="F4" s="337" t="s">
        <v>159</v>
      </c>
      <c r="G4" s="342" t="str">
        <f t="shared" ref="G4:G9" si="0">IF(AND(ISNUMBER(B4)),B4,"")</f>
        <v/>
      </c>
      <c r="H4" s="339" t="s">
        <v>160</v>
      </c>
      <c r="I4" s="343"/>
    </row>
    <row r="5" spans="1:9" s="341" customFormat="1" ht="25" customHeight="1">
      <c r="A5" s="344" t="s">
        <v>161</v>
      </c>
      <c r="B5" s="338"/>
      <c r="C5" s="339" t="s">
        <v>59</v>
      </c>
      <c r="D5" s="345"/>
      <c r="F5" s="344" t="s">
        <v>161</v>
      </c>
      <c r="G5" s="342" t="str">
        <f t="shared" si="0"/>
        <v/>
      </c>
      <c r="H5" s="346" t="s">
        <v>59</v>
      </c>
      <c r="I5" s="343"/>
    </row>
    <row r="6" spans="1:9" s="341" customFormat="1" ht="25" customHeight="1">
      <c r="A6" s="344" t="s">
        <v>162</v>
      </c>
      <c r="B6" s="338"/>
      <c r="C6" s="339" t="s">
        <v>59</v>
      </c>
      <c r="D6" s="345"/>
      <c r="F6" s="344" t="s">
        <v>162</v>
      </c>
      <c r="G6" s="342" t="str">
        <f t="shared" si="0"/>
        <v/>
      </c>
      <c r="H6" s="346" t="s">
        <v>59</v>
      </c>
      <c r="I6" s="347"/>
    </row>
    <row r="7" spans="1:9" s="341" customFormat="1" ht="25" customHeight="1">
      <c r="A7" s="348" t="s">
        <v>163</v>
      </c>
      <c r="B7" s="338"/>
      <c r="C7" s="349" t="s">
        <v>59</v>
      </c>
      <c r="D7" s="350"/>
      <c r="F7" s="348" t="s">
        <v>163</v>
      </c>
      <c r="G7" s="342" t="str">
        <f t="shared" si="0"/>
        <v/>
      </c>
      <c r="H7" s="351" t="s">
        <v>59</v>
      </c>
      <c r="I7" s="352"/>
    </row>
    <row r="8" spans="1:9" s="341" customFormat="1" ht="25" customHeight="1">
      <c r="A8" s="348" t="s">
        <v>164</v>
      </c>
      <c r="B8" s="338"/>
      <c r="C8" s="349" t="s">
        <v>59</v>
      </c>
      <c r="D8" s="350"/>
      <c r="F8" s="348" t="s">
        <v>164</v>
      </c>
      <c r="G8" s="342" t="str">
        <f t="shared" si="0"/>
        <v/>
      </c>
      <c r="H8" s="351" t="s">
        <v>59</v>
      </c>
      <c r="I8" s="352"/>
    </row>
    <row r="9" spans="1:9" s="341" customFormat="1" ht="25" customHeight="1">
      <c r="A9" s="344" t="s">
        <v>165</v>
      </c>
      <c r="B9" s="338"/>
      <c r="C9" s="353" t="s">
        <v>145</v>
      </c>
      <c r="D9" s="345"/>
      <c r="F9" s="344" t="s">
        <v>165</v>
      </c>
      <c r="G9" s="342" t="str">
        <f t="shared" si="0"/>
        <v/>
      </c>
      <c r="H9" s="354" t="s">
        <v>146</v>
      </c>
      <c r="I9" s="343"/>
    </row>
    <row r="10" spans="1:9" s="341" customFormat="1" ht="25" customHeight="1" thickBot="1">
      <c r="A10" s="344"/>
      <c r="B10" s="338"/>
      <c r="C10" s="355"/>
      <c r="D10" s="345"/>
      <c r="F10" s="356"/>
      <c r="G10" s="357"/>
      <c r="H10" s="358"/>
      <c r="I10" s="359"/>
    </row>
    <row r="11" spans="1:9" s="341" customFormat="1" ht="12.5">
      <c r="A11" s="360"/>
      <c r="B11" s="361"/>
      <c r="C11" s="353"/>
      <c r="D11" s="362"/>
    </row>
    <row r="12" spans="1:9" s="341" customFormat="1" ht="12.5">
      <c r="A12" s="360"/>
      <c r="B12" s="361"/>
      <c r="C12" s="363"/>
      <c r="D12" s="364"/>
    </row>
    <row r="13" spans="1:9" s="327" customFormat="1" ht="14.25" customHeight="1" thickBot="1">
      <c r="A13" s="365"/>
      <c r="C13" s="366"/>
    </row>
    <row r="14" spans="1:9" s="327" customFormat="1" ht="24.75" customHeight="1">
      <c r="A14" s="367" t="s">
        <v>41</v>
      </c>
      <c r="B14" s="368" t="s">
        <v>4</v>
      </c>
      <c r="C14" s="369"/>
      <c r="F14" s="1373" t="s">
        <v>184</v>
      </c>
      <c r="G14" s="1374"/>
      <c r="H14" s="1375"/>
    </row>
    <row r="15" spans="1:9" s="327" customFormat="1" ht="24.75" customHeight="1">
      <c r="A15" s="348" t="s">
        <v>166</v>
      </c>
      <c r="B15" s="370" t="str">
        <f t="shared" ref="B15:B21" si="1">G15</f>
        <v/>
      </c>
      <c r="C15" s="371" t="s">
        <v>167</v>
      </c>
      <c r="F15" s="348" t="s">
        <v>166</v>
      </c>
      <c r="G15" s="372" t="str">
        <f>IF(AND(ISNUMBER(G7),ISNUMBER(G8)),G7/G8,"")</f>
        <v/>
      </c>
      <c r="H15" s="351"/>
    </row>
    <row r="16" spans="1:9" s="341" customFormat="1" ht="25" customHeight="1">
      <c r="A16" s="348" t="s">
        <v>168</v>
      </c>
      <c r="B16" s="370" t="str">
        <f t="shared" si="1"/>
        <v/>
      </c>
      <c r="C16" s="349" t="s">
        <v>59</v>
      </c>
      <c r="D16" s="373"/>
      <c r="F16" s="348" t="s">
        <v>168</v>
      </c>
      <c r="G16" s="372" t="str">
        <f>IF(AND(ISNUMBER(G7)),G7,"")</f>
        <v/>
      </c>
      <c r="H16" s="351"/>
    </row>
    <row r="17" spans="1:9" s="341" customFormat="1" ht="25" customHeight="1" thickBot="1">
      <c r="A17" s="348" t="s">
        <v>169</v>
      </c>
      <c r="B17" s="370" t="str">
        <f t="shared" si="1"/>
        <v/>
      </c>
      <c r="C17" s="355" t="s">
        <v>145</v>
      </c>
      <c r="D17" s="373"/>
      <c r="F17" s="348" t="s">
        <v>169</v>
      </c>
      <c r="G17" s="372" t="str">
        <f>IF(AND(ISNUMBER(G9)),G9,"")</f>
        <v/>
      </c>
      <c r="H17" s="346"/>
    </row>
    <row r="18" spans="1:9" s="377" customFormat="1" ht="25" customHeight="1" thickBot="1">
      <c r="A18" s="374" t="s">
        <v>170</v>
      </c>
      <c r="B18" s="375" t="str">
        <f t="shared" si="1"/>
        <v/>
      </c>
      <c r="C18" s="376"/>
      <c r="D18" s="373"/>
      <c r="F18" s="378" t="s">
        <v>170</v>
      </c>
      <c r="G18" s="379" t="str">
        <f>IF(ISNUMBER(G5),IF(G5&lt;=G27,H27,IF(AND(G5&lt;=G26,G5&gt;G27),ROUND(0+((H27-H26)/(G27-G26))*(G5-G26),0),0)),"")</f>
        <v/>
      </c>
      <c r="H18" s="380"/>
    </row>
    <row r="19" spans="1:9" s="377" customFormat="1" ht="25" customHeight="1" thickBot="1">
      <c r="A19" s="374" t="s">
        <v>171</v>
      </c>
      <c r="B19" s="381" t="str">
        <f t="shared" si="1"/>
        <v/>
      </c>
      <c r="C19" s="382"/>
      <c r="F19" s="383" t="s">
        <v>171</v>
      </c>
      <c r="G19" s="379" t="str">
        <f>IF(ISNUMBER(G6),IF(G6&lt;=G29,H29,IF(AND(G6&lt;=G28,G6&gt;G29),ROUND(0+((H29-H28)/(G29-G28))*(G6-G28),0),0)),"")</f>
        <v/>
      </c>
      <c r="H19" s="384"/>
    </row>
    <row r="20" spans="1:9" ht="25" customHeight="1" thickBot="1">
      <c r="A20" s="385" t="s">
        <v>172</v>
      </c>
      <c r="B20" s="386" t="str">
        <f t="shared" si="1"/>
        <v/>
      </c>
      <c r="C20" s="387"/>
      <c r="F20" s="385" t="s">
        <v>172</v>
      </c>
      <c r="G20" s="379" t="str">
        <f>IF(ISNUMBER(G16),IF(G16&lt;=G31,H31,IF(AND(G16&lt;=G30,G16&gt;G31),ROUND(0+((H31-H30)/(G31-G30))*(G16-G30),0),0)),"")</f>
        <v/>
      </c>
      <c r="H20" s="389"/>
    </row>
    <row r="21" spans="1:9" ht="25" customHeight="1" thickBot="1">
      <c r="A21" s="390" t="s">
        <v>173</v>
      </c>
      <c r="B21" s="375" t="str">
        <f t="shared" si="1"/>
        <v/>
      </c>
      <c r="C21" s="391"/>
      <c r="F21" s="378" t="s">
        <v>173</v>
      </c>
      <c r="G21" s="379" t="str">
        <f>IF(ISNUMBER(G17),IF(G17&lt;=G33,H33,IF(AND(G17&lt;=G32,G17&gt;G33),ROUND(0+((H33-H32)/(G33-G32))*(G17-G32),0),0)),"")</f>
        <v/>
      </c>
      <c r="H21" s="392"/>
    </row>
    <row r="24" spans="1:9" ht="14.5" thickBot="1"/>
    <row r="25" spans="1:9">
      <c r="F25" s="393"/>
      <c r="G25" s="394" t="s">
        <v>147</v>
      </c>
      <c r="H25" s="395" t="s">
        <v>4</v>
      </c>
    </row>
    <row r="26" spans="1:9" ht="15.5">
      <c r="F26" s="396" t="s">
        <v>174</v>
      </c>
      <c r="G26" s="397">
        <v>70</v>
      </c>
      <c r="H26" s="398">
        <v>0</v>
      </c>
      <c r="I26" s="399"/>
    </row>
    <row r="27" spans="1:9" ht="15.5">
      <c r="F27" s="396" t="s">
        <v>175</v>
      </c>
      <c r="G27" s="397">
        <v>25</v>
      </c>
      <c r="H27" s="398">
        <v>60</v>
      </c>
      <c r="I27" s="399"/>
    </row>
    <row r="28" spans="1:9" ht="15.5">
      <c r="F28" s="396" t="s">
        <v>176</v>
      </c>
      <c r="G28" s="397">
        <v>70</v>
      </c>
      <c r="H28" s="398">
        <v>0</v>
      </c>
      <c r="I28" s="399"/>
    </row>
    <row r="29" spans="1:9" ht="15.5">
      <c r="F29" s="396" t="s">
        <v>177</v>
      </c>
      <c r="G29" s="397">
        <v>25</v>
      </c>
      <c r="H29" s="398">
        <v>55</v>
      </c>
      <c r="I29" s="399"/>
    </row>
    <row r="30" spans="1:9" ht="15.5">
      <c r="F30" s="396" t="s">
        <v>178</v>
      </c>
      <c r="G30" s="397">
        <v>120</v>
      </c>
      <c r="H30" s="398">
        <v>0</v>
      </c>
      <c r="I30" s="399"/>
    </row>
    <row r="31" spans="1:9" ht="15.5">
      <c r="F31" s="396" t="s">
        <v>179</v>
      </c>
      <c r="G31" s="397">
        <v>30</v>
      </c>
      <c r="H31" s="398">
        <v>120</v>
      </c>
      <c r="I31" s="399"/>
    </row>
    <row r="32" spans="1:9" ht="15.5">
      <c r="F32" s="396" t="s">
        <v>148</v>
      </c>
      <c r="G32" s="397">
        <v>35</v>
      </c>
      <c r="H32" s="398">
        <v>0</v>
      </c>
      <c r="I32" s="399"/>
    </row>
    <row r="33" spans="6:9" ht="16" thickBot="1">
      <c r="F33" s="400" t="s">
        <v>149</v>
      </c>
      <c r="G33" s="401">
        <v>25</v>
      </c>
      <c r="H33" s="402">
        <v>135</v>
      </c>
      <c r="I33" s="399"/>
    </row>
  </sheetData>
  <sheetProtection algorithmName="SHA-512" hashValue="bnuzmq8M8PNsVffpy5gURhBl+4/zZqhA8GNs0Uv8Q6PQe8sywNHI3+2IcqzH9Y/Homh+SVrK4qKhkYofrWFuRw==" saltValue="BUHlvan9zzvqS4u1LfjHZQ==" spinCount="100000" sheet="1" selectLockedCells="1"/>
  <mergeCells count="4">
    <mergeCell ref="A1:D1"/>
    <mergeCell ref="F1:H1"/>
    <mergeCell ref="F3:H3"/>
    <mergeCell ref="F14:H14"/>
  </mergeCells>
  <dataValidations count="1">
    <dataValidation allowBlank="1" showErrorMessage="1" sqref="B4:B10" xr:uid="{261E79B2-C617-4290-B9E7-E49E94C08BBC}"/>
  </dataValidations>
  <pageMargins left="0.59055118110236238" right="0.59055118110236238" top="0.59055118110236238" bottom="0.59055118110236238" header="0.31496062992125984" footer="0.31496062992125984"/>
  <pageSetup paperSize="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622D5A955D597D478B3F535215E7E5D6" ma:contentTypeVersion="15" ma:contentTypeDescription="Ein neues Dokument erstellen." ma:contentTypeScope="" ma:versionID="9df47d3f5d39e56ac2f5fc3d464964eb">
  <xsd:schema xmlns:xsd="http://www.w3.org/2001/XMLSchema" xmlns:xs="http://www.w3.org/2001/XMLSchema" xmlns:p="http://schemas.microsoft.com/office/2006/metadata/properties" xmlns:ns2="a6081b03-2a40-4a72-92f3-e27db004df69" xmlns:ns3="cf30bd56-e01e-4391-9850-ada34396b374" targetNamespace="http://schemas.microsoft.com/office/2006/metadata/properties" ma:root="true" ma:fieldsID="04b39def9b8e1f45d83eb023d1e738d5" ns2:_="" ns3:_="">
    <xsd:import namespace="a6081b03-2a40-4a72-92f3-e27db004df69"/>
    <xsd:import namespace="cf30bd56-e01e-4391-9850-ada34396b374"/>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DateTaken" minOccurs="0"/>
                <xsd:element ref="ns3:SharedWithUsers" minOccurs="0"/>
                <xsd:element ref="ns3:SharedWithDetails" minOccurs="0"/>
                <xsd:element ref="ns2:MediaLengthInSeconds" minOccurs="0"/>
                <xsd:element ref="ns2:MediaServiceObjectDetectorVersion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6081b03-2a40-4a72-92f3-e27db004df6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Bildmarkierungen" ma:readOnly="false" ma:fieldId="{5cf76f15-5ced-4ddc-b409-7134ff3c332f}" ma:taxonomyMulti="true" ma:sspId="2231abc8-4556-4484-b6ee-5cd59887ff86" ma:termSetId="09814cd3-568e-fe90-9814-8d621ff8fb84" ma:anchorId="fba54fb3-c3e1-fe81-a776-ca4b69148c4d" ma:open="true" ma:isKeyword="false">
      <xsd:complexType>
        <xsd:sequence>
          <xsd:element ref="pc:Terms" minOccurs="0" maxOccurs="1"/>
        </xsd:sequence>
      </xsd:complex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Location" ma:index="21" nillable="true" ma:displayName="Loca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f30bd56-e01e-4391-9850-ada34396b374"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e98b530e-a13c-45a9-be77-cd84a30631c3}" ma:internalName="TaxCatchAll" ma:showField="CatchAllData" ma:web="cf30bd56-e01e-4391-9850-ada34396b374">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Freigegeben für -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cf30bd56-e01e-4391-9850-ada34396b374" xsi:nil="true"/>
    <lcf76f155ced4ddcb4097134ff3c332f xmlns="a6081b03-2a40-4a72-92f3-e27db004df69">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949397C9-0847-4B73-9C88-61FBA83830B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6081b03-2a40-4a72-92f3-e27db004df69"/>
    <ds:schemaRef ds:uri="cf30bd56-e01e-4391-9850-ada34396b37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CDAA342-A554-41FD-80FD-E2433F1CC3A3}">
  <ds:schemaRefs>
    <ds:schemaRef ds:uri="http://schemas.microsoft.com/sharepoint/v3/contenttype/forms"/>
  </ds:schemaRefs>
</ds:datastoreItem>
</file>

<file path=customXml/itemProps3.xml><?xml version="1.0" encoding="utf-8"?>
<ds:datastoreItem xmlns:ds="http://schemas.openxmlformats.org/officeDocument/2006/customXml" ds:itemID="{BA263B9E-4D78-4CAA-BF05-1E6743BBB044}">
  <ds:schemaRefs>
    <ds:schemaRef ds:uri="http://purl.org/dc/terms/"/>
    <ds:schemaRef ds:uri="http://purl.org/dc/elements/1.1/"/>
    <ds:schemaRef ds:uri="http://schemas.openxmlformats.org/package/2006/metadata/core-properties"/>
    <ds:schemaRef ds:uri="cf30bd56-e01e-4391-9850-ada34396b374"/>
    <ds:schemaRef ds:uri="a6081b03-2a40-4a72-92f3-e27db004df69"/>
    <ds:schemaRef ds:uri="http://purl.org/dc/dcmitype/"/>
    <ds:schemaRef ds:uri="http://schemas.microsoft.com/office/2006/documentManagement/types"/>
    <ds:schemaRef ds:uri="http://schemas.microsoft.com/office/infopath/2007/PartnerControls"/>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1</vt:i4>
      </vt:variant>
    </vt:vector>
  </HeadingPairs>
  <TitlesOfParts>
    <vt:vector size="20" baseType="lpstr">
      <vt:lpstr>Deckblatt</vt:lpstr>
      <vt:lpstr>Punktevergabe</vt:lpstr>
      <vt:lpstr>A 3.</vt:lpstr>
      <vt:lpstr>A 4.</vt:lpstr>
      <vt:lpstr>A 5.</vt:lpstr>
      <vt:lpstr>A 6.</vt:lpstr>
      <vt:lpstr>A 7.</vt:lpstr>
      <vt:lpstr>Bewertung durch Expertengremium</vt:lpstr>
      <vt:lpstr>B1b </vt:lpstr>
      <vt:lpstr>B1b Graphik</vt:lpstr>
      <vt:lpstr>B 5.</vt:lpstr>
      <vt:lpstr>C 1.</vt:lpstr>
      <vt:lpstr>C 2.</vt:lpstr>
      <vt:lpstr>D </vt:lpstr>
      <vt:lpstr>Punktevergabe LNB_QNG</vt:lpstr>
      <vt:lpstr>Nebenrechnungen</vt:lpstr>
      <vt:lpstr>Kriterieneinteilung LNB_QNG</vt:lpstr>
      <vt:lpstr>D 2.1</vt:lpstr>
      <vt:lpstr>D 2.2</vt:lpstr>
      <vt:lpstr>'Bewertung durch Expertengremium'!Druckbereich</vt:lpstr>
    </vt:vector>
  </TitlesOfParts>
  <Company>IBO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Rechenknecht</dc:creator>
  <cp:lastModifiedBy>Maximilian Eiler</cp:lastModifiedBy>
  <cp:lastPrinted>2022-11-18T14:40:29Z</cp:lastPrinted>
  <dcterms:created xsi:type="dcterms:W3CDTF">2005-07-27T13:49:14Z</dcterms:created>
  <dcterms:modified xsi:type="dcterms:W3CDTF">2026-02-02T08:49:37Z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0x010100622D5A955D597D478B3F535215E7E5D6</vt:lpwstr>
  </property>
  <property fmtid="{D5CDD505-2E9C-101B-9397-08002B2CF9AE}" pid="3" name="MediaServiceImageTags">
    <vt:lpwstr/>
  </property>
</Properties>
</file>